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9.xml" ContentType="application/vnd.openxmlformats-officedocument.drawing+xml"/>
  <Override PartName="/xl/charts/chart3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پویش فکری توسعه\معاونت مطالعات\برنامه های بخش مطالعات\شاخص سازی توسعه\text\21\"/>
    </mc:Choice>
  </mc:AlternateContent>
  <xr:revisionPtr revIDLastSave="0" documentId="13_ncr:1_{8560388A-BAB0-403A-A059-86D9014E4EBD}" xr6:coauthVersionLast="46" xr6:coauthVersionMax="46" xr10:uidLastSave="{00000000-0000-0000-0000-000000000000}"/>
  <bookViews>
    <workbookView xWindow="-120" yWindow="-120" windowWidth="25440" windowHeight="15390" activeTab="2" xr2:uid="{00000000-000D-0000-FFFF-FFFF00000000}"/>
  </bookViews>
  <sheets>
    <sheet name="داده های شاخص ها برای ایران" sheetId="1" r:id="rId1"/>
    <sheet name="نرخ رشد ایران" sheetId="20" r:id="rId2"/>
    <sheet name="وضعیت ایران" sheetId="13" r:id="rId3"/>
    <sheet name="روند ایران" sheetId="21" r:id="rId4"/>
    <sheet name="ایران و ترکیه" sheetId="8" r:id="rId5"/>
    <sheet name="ایران و کره جنوبی" sheetId="10" r:id="rId6"/>
    <sheet name="ایران و چین" sheetId="11" r:id="rId7"/>
    <sheet name="ایران و سنگاپور" sheetId="12" r:id="rId8"/>
    <sheet name="مقابسه رتیه ایران" sheetId="15" r:id="rId9"/>
    <sheet name="میانگین 5 ساله شاخص ها" sheetId="16" r:id="rId10"/>
    <sheet name="نمودار مقابسه رتبه ایران" sheetId="18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2" l="1"/>
  <c r="K15" i="12"/>
  <c r="K16" i="10"/>
  <c r="K15" i="10"/>
  <c r="K16" i="11"/>
  <c r="K15" i="11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N12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B11" i="11"/>
  <c r="N12" i="10"/>
  <c r="M12" i="10"/>
  <c r="L12" i="10"/>
  <c r="K12" i="10"/>
  <c r="J12" i="10"/>
  <c r="I12" i="10"/>
  <c r="H12" i="10"/>
  <c r="G12" i="10"/>
  <c r="F12" i="10"/>
  <c r="E12" i="10"/>
  <c r="D12" i="10"/>
  <c r="C12" i="10"/>
  <c r="B12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B11" i="10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N11" i="8"/>
  <c r="AD31" i="8" s="1"/>
  <c r="M11" i="8"/>
  <c r="L11" i="8"/>
  <c r="AB31" i="8" s="1"/>
  <c r="K11" i="8"/>
  <c r="AA31" i="8" s="1"/>
  <c r="J11" i="8"/>
  <c r="Z31" i="8" s="1"/>
  <c r="I11" i="8"/>
  <c r="H11" i="8"/>
  <c r="X31" i="8" s="1"/>
  <c r="G11" i="8"/>
  <c r="W31" i="8" s="1"/>
  <c r="F11" i="8"/>
  <c r="V31" i="8" s="1"/>
  <c r="E11" i="8"/>
  <c r="D11" i="8"/>
  <c r="T31" i="8" s="1"/>
  <c r="C11" i="8"/>
  <c r="S31" i="8" s="1"/>
  <c r="B11" i="8"/>
  <c r="R31" i="8" s="1"/>
  <c r="K16" i="8"/>
  <c r="AA33" i="8"/>
  <c r="K15" i="8"/>
  <c r="U31" i="8"/>
  <c r="Y31" i="8"/>
  <c r="AC31" i="8"/>
  <c r="AA32" i="8"/>
  <c r="AG14" i="21" l="1"/>
  <c r="AF14" i="21"/>
  <c r="AE14" i="21"/>
  <c r="AD14" i="21"/>
  <c r="AC14" i="21"/>
  <c r="AJ5" i="21" l="1"/>
  <c r="AK5" i="21"/>
  <c r="AJ6" i="21"/>
  <c r="AK6" i="21"/>
  <c r="AJ7" i="21"/>
  <c r="AK7" i="21"/>
  <c r="AJ8" i="21"/>
  <c r="AK8" i="21"/>
  <c r="AJ9" i="21"/>
  <c r="AK9" i="21"/>
  <c r="AJ10" i="21"/>
  <c r="AK10" i="21"/>
  <c r="AJ11" i="21"/>
  <c r="AK11" i="21"/>
  <c r="AJ12" i="21"/>
  <c r="AK12" i="21"/>
  <c r="AJ13" i="21"/>
  <c r="AK13" i="21"/>
  <c r="AJ14" i="21"/>
  <c r="AK14" i="21"/>
  <c r="AJ15" i="21"/>
  <c r="AK15" i="21"/>
  <c r="AJ16" i="21"/>
  <c r="AK16" i="21"/>
  <c r="X17" i="21"/>
  <c r="Y17" i="21" s="1"/>
  <c r="Z17" i="21" s="1"/>
  <c r="AA17" i="21" s="1"/>
  <c r="AB17" i="21" s="1"/>
  <c r="AC17" i="21" s="1"/>
  <c r="AD17" i="21" s="1"/>
  <c r="AE17" i="21" s="1"/>
  <c r="AF17" i="21" s="1"/>
  <c r="AG17" i="21" s="1"/>
  <c r="AG10" i="21"/>
  <c r="W46" i="21"/>
  <c r="X46" i="21" s="1"/>
  <c r="Y46" i="21" s="1"/>
  <c r="Z46" i="21" s="1"/>
  <c r="AA46" i="21" s="1"/>
  <c r="AB46" i="21" s="1"/>
  <c r="AC46" i="21" s="1"/>
  <c r="AD46" i="21" s="1"/>
  <c r="AE46" i="21" s="1"/>
  <c r="AF46" i="21" s="1"/>
  <c r="AB43" i="21"/>
  <c r="AF39" i="21"/>
  <c r="AF8" i="1"/>
  <c r="AF9" i="1" s="1"/>
  <c r="AE9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B13" i="1"/>
  <c r="AC13" i="1" s="1"/>
  <c r="AC14" i="1" l="1"/>
  <c r="AD13" i="1"/>
  <c r="AJ17" i="21"/>
  <c r="AJ20" i="21" s="1"/>
  <c r="AK17" i="21"/>
  <c r="AC43" i="21"/>
  <c r="AE13" i="1" l="1"/>
  <c r="AD14" i="1"/>
  <c r="AD43" i="21"/>
  <c r="AF13" i="1" l="1"/>
  <c r="AF14" i="1" s="1"/>
  <c r="AE14" i="1"/>
  <c r="AE43" i="21"/>
  <c r="AF43" i="21" l="1"/>
  <c r="W18" i="1" l="1"/>
  <c r="X18" i="1" s="1"/>
  <c r="Y18" i="1" s="1"/>
  <c r="Z18" i="1" s="1"/>
  <c r="AA18" i="1" s="1"/>
  <c r="AB18" i="1" s="1"/>
  <c r="AC18" i="1" s="1"/>
  <c r="AD18" i="1" s="1"/>
  <c r="AE18" i="1" s="1"/>
  <c r="AF18" i="1" s="1"/>
  <c r="AH2" i="1" l="1"/>
  <c r="AI2" i="1"/>
  <c r="AL6" i="21" l="1"/>
  <c r="AM6" i="21"/>
  <c r="AN6" i="21"/>
  <c r="AO6" i="21"/>
  <c r="AP6" i="21"/>
  <c r="AQ12" i="21" l="1"/>
  <c r="AL5" i="21"/>
  <c r="AM5" i="21"/>
  <c r="AN5" i="21"/>
  <c r="AO5" i="21"/>
  <c r="AP5" i="21"/>
  <c r="AQ5" i="21"/>
  <c r="AQ6" i="21"/>
  <c r="AL7" i="21"/>
  <c r="AM7" i="21"/>
  <c r="AN7" i="21"/>
  <c r="AO7" i="21"/>
  <c r="AP7" i="21"/>
  <c r="AQ7" i="21"/>
  <c r="AL8" i="21"/>
  <c r="AM8" i="21"/>
  <c r="AN8" i="21"/>
  <c r="AO8" i="21"/>
  <c r="AP8" i="21"/>
  <c r="AQ8" i="21"/>
  <c r="AL9" i="21"/>
  <c r="AM9" i="21"/>
  <c r="AN9" i="21"/>
  <c r="AO9" i="21"/>
  <c r="AP9" i="21"/>
  <c r="AQ9" i="21"/>
  <c r="AL10" i="21"/>
  <c r="AM10" i="21"/>
  <c r="AN10" i="21"/>
  <c r="AO10" i="21"/>
  <c r="AP10" i="21"/>
  <c r="AQ10" i="21"/>
  <c r="AL11" i="21"/>
  <c r="AM11" i="21"/>
  <c r="AN11" i="21"/>
  <c r="AO11" i="21"/>
  <c r="AP11" i="21"/>
  <c r="AQ11" i="21"/>
  <c r="AL12" i="21"/>
  <c r="AM12" i="21"/>
  <c r="AN12" i="21"/>
  <c r="AO12" i="21"/>
  <c r="AP12" i="21"/>
  <c r="AL13" i="21"/>
  <c r="AM13" i="21"/>
  <c r="AN13" i="21"/>
  <c r="AO13" i="21"/>
  <c r="AP13" i="21"/>
  <c r="AQ13" i="21"/>
  <c r="AL14" i="21"/>
  <c r="AM14" i="21"/>
  <c r="AQ14" i="21"/>
  <c r="AL15" i="21"/>
  <c r="AM15" i="21"/>
  <c r="AN15" i="21"/>
  <c r="AO15" i="21"/>
  <c r="AP15" i="21"/>
  <c r="AQ15" i="21"/>
  <c r="AL16" i="21"/>
  <c r="AM16" i="21"/>
  <c r="AN16" i="21"/>
  <c r="AO16" i="21"/>
  <c r="AP16" i="21"/>
  <c r="AQ16" i="21"/>
  <c r="AL17" i="21"/>
  <c r="AM17" i="21"/>
  <c r="AN17" i="21"/>
  <c r="AO17" i="21"/>
  <c r="AP17" i="21"/>
  <c r="AQ17" i="21"/>
  <c r="AP14" i="21"/>
  <c r="AO14" i="21"/>
  <c r="AN14" i="21"/>
  <c r="AP20" i="21" l="1"/>
  <c r="AK20" i="21"/>
  <c r="AM20" i="21"/>
  <c r="AL20" i="21"/>
  <c r="AN20" i="21"/>
  <c r="AQ20" i="21"/>
  <c r="AO20" i="21"/>
  <c r="K16" i="13"/>
  <c r="K17" i="13"/>
  <c r="K21" i="13"/>
  <c r="K20" i="13"/>
  <c r="K12" i="13"/>
  <c r="K11" i="13"/>
  <c r="AW13" i="1" l="1"/>
  <c r="AC37" i="13" l="1"/>
  <c r="K25" i="13" l="1"/>
  <c r="AC36" i="13"/>
  <c r="C21" i="13"/>
  <c r="Q68" i="13"/>
  <c r="Q69" i="13"/>
  <c r="Y67" i="13"/>
  <c r="Z67" i="13"/>
  <c r="V67" i="13"/>
  <c r="T67" i="13"/>
  <c r="U67" i="13"/>
  <c r="W67" i="13"/>
  <c r="S67" i="13"/>
  <c r="AA67" i="13"/>
  <c r="AB67" i="13"/>
  <c r="AC67" i="13"/>
  <c r="X67" i="13"/>
  <c r="R67" i="13"/>
  <c r="AD67" i="13"/>
  <c r="N12" i="13"/>
  <c r="M12" i="13"/>
  <c r="L12" i="13"/>
  <c r="J12" i="13"/>
  <c r="I12" i="13"/>
  <c r="H12" i="13"/>
  <c r="G12" i="13"/>
  <c r="F12" i="13"/>
  <c r="E12" i="13"/>
  <c r="D12" i="13"/>
  <c r="C12" i="13"/>
  <c r="B12" i="13"/>
  <c r="N11" i="13"/>
  <c r="M11" i="13"/>
  <c r="L11" i="13"/>
  <c r="J11" i="13"/>
  <c r="I11" i="13"/>
  <c r="H11" i="13"/>
  <c r="G11" i="13"/>
  <c r="F11" i="13"/>
  <c r="E11" i="13"/>
  <c r="D11" i="13"/>
  <c r="C11" i="13"/>
  <c r="B11" i="13"/>
  <c r="Z37" i="13" l="1"/>
  <c r="C46" i="13"/>
  <c r="A71" i="13"/>
  <c r="AW4" i="1" l="1"/>
  <c r="AZ4" i="1" s="1"/>
  <c r="AV4" i="1"/>
  <c r="AY4" i="1" s="1"/>
  <c r="AZ13" i="1"/>
  <c r="AV8" i="1"/>
  <c r="AY8" i="1" s="1"/>
  <c r="AV18" i="1"/>
  <c r="AY18" i="1" s="1"/>
  <c r="AV17" i="1"/>
  <c r="AY17" i="1" s="1"/>
  <c r="AV15" i="1"/>
  <c r="AY15" i="1" s="1"/>
  <c r="AV13" i="1"/>
  <c r="AY13" i="1" s="1"/>
  <c r="AV12" i="1"/>
  <c r="AY12" i="1" s="1"/>
  <c r="AV11" i="1"/>
  <c r="AY11" i="1" s="1"/>
  <c r="AV10" i="1"/>
  <c r="AY10" i="1" s="1"/>
  <c r="AV7" i="1"/>
  <c r="AY7" i="1" s="1"/>
  <c r="AV6" i="1"/>
  <c r="AV3" i="1"/>
  <c r="AY3" i="1" s="1"/>
  <c r="AV2" i="1"/>
  <c r="AY2" i="1" s="1"/>
  <c r="AO18" i="1"/>
  <c r="AO17" i="1"/>
  <c r="AO15" i="1"/>
  <c r="AO13" i="1"/>
  <c r="AO12" i="1"/>
  <c r="AO11" i="1"/>
  <c r="AO10" i="1"/>
  <c r="AO8" i="1"/>
  <c r="AO7" i="1"/>
  <c r="AO6" i="1"/>
  <c r="AO4" i="1"/>
  <c r="AO3" i="1"/>
  <c r="AO2" i="1"/>
  <c r="AW3" i="1"/>
  <c r="AZ3" i="1" s="1"/>
  <c r="AW18" i="1"/>
  <c r="AZ18" i="1" s="1"/>
  <c r="AW17" i="1"/>
  <c r="AZ17" i="1" s="1"/>
  <c r="AW15" i="1"/>
  <c r="AZ15" i="1" s="1"/>
  <c r="AW12" i="1"/>
  <c r="AZ12" i="1" s="1"/>
  <c r="AW11" i="1"/>
  <c r="AZ11" i="1" s="1"/>
  <c r="AW10" i="1"/>
  <c r="AZ10" i="1" s="1"/>
  <c r="AW8" i="1"/>
  <c r="AZ8" i="1" s="1"/>
  <c r="AW7" i="1"/>
  <c r="AZ7" i="1" s="1"/>
  <c r="AW6" i="1"/>
  <c r="AZ6" i="1" s="1"/>
  <c r="AW2" i="1"/>
  <c r="AZ2" i="1" s="1"/>
  <c r="AJ6" i="1"/>
  <c r="K3" i="20" l="1"/>
  <c r="L3" i="20"/>
  <c r="K4" i="20"/>
  <c r="L4" i="20"/>
  <c r="K5" i="20"/>
  <c r="L5" i="20"/>
  <c r="K6" i="20"/>
  <c r="L6" i="20"/>
  <c r="K7" i="20"/>
  <c r="L7" i="20"/>
  <c r="K8" i="20"/>
  <c r="L8" i="20"/>
  <c r="K9" i="20"/>
  <c r="L9" i="20"/>
  <c r="K10" i="20"/>
  <c r="L10" i="20"/>
  <c r="K11" i="20"/>
  <c r="L11" i="20"/>
  <c r="K12" i="20"/>
  <c r="L12" i="20"/>
  <c r="K13" i="20"/>
  <c r="L13" i="20"/>
  <c r="K14" i="20"/>
  <c r="L14" i="20"/>
  <c r="L2" i="20"/>
  <c r="K2" i="20"/>
  <c r="AS14" i="1" l="1"/>
  <c r="AS9" i="1"/>
  <c r="AS16" i="1"/>
  <c r="AS5" i="1"/>
  <c r="AT16" i="1"/>
  <c r="AT14" i="1"/>
  <c r="AT9" i="1"/>
  <c r="AT5" i="1"/>
  <c r="AH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H14" i="1"/>
  <c r="AH5" i="1"/>
  <c r="U5" i="1"/>
  <c r="V5" i="1"/>
  <c r="W5" i="1"/>
  <c r="Y5" i="1"/>
  <c r="Z5" i="1"/>
  <c r="AA5" i="1"/>
  <c r="AB5" i="1"/>
  <c r="AC5" i="1"/>
  <c r="AD5" i="1"/>
  <c r="AE5" i="1"/>
  <c r="AF5" i="1"/>
  <c r="A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H9" i="1"/>
  <c r="AQ5" i="1" l="1"/>
  <c r="AQ16" i="1"/>
  <c r="AQ14" i="1"/>
  <c r="AQ9" i="1"/>
  <c r="I20" i="13" l="1"/>
  <c r="L20" i="13"/>
  <c r="I24" i="13" l="1"/>
  <c r="AA68" i="13" s="1"/>
  <c r="AA36" i="13"/>
  <c r="L24" i="13"/>
  <c r="X68" i="13" s="1"/>
  <c r="X36" i="13"/>
  <c r="B40" i="15" l="1"/>
  <c r="B37" i="15"/>
  <c r="B34" i="15"/>
  <c r="B31" i="15"/>
  <c r="B28" i="15"/>
  <c r="B25" i="15"/>
  <c r="B22" i="15"/>
  <c r="B19" i="15"/>
  <c r="B16" i="15"/>
  <c r="B13" i="15"/>
  <c r="B10" i="15"/>
  <c r="B7" i="15"/>
  <c r="B4" i="15"/>
  <c r="C40" i="15"/>
  <c r="C37" i="15"/>
  <c r="C34" i="15"/>
  <c r="C31" i="15"/>
  <c r="C28" i="15"/>
  <c r="C25" i="15"/>
  <c r="C22" i="15"/>
  <c r="C19" i="15"/>
  <c r="C16" i="15"/>
  <c r="C13" i="15"/>
  <c r="C10" i="15"/>
  <c r="C7" i="15"/>
  <c r="C4" i="15"/>
  <c r="I3" i="16" l="1"/>
  <c r="D3" i="16"/>
  <c r="E3" i="16"/>
  <c r="G113" i="16" l="1"/>
  <c r="E8" i="16"/>
  <c r="D8" i="16"/>
  <c r="G111" i="16" l="1"/>
  <c r="F8" i="16" s="1"/>
  <c r="W97" i="16" l="1"/>
  <c r="I6" i="16" s="1"/>
  <c r="AF88" i="16" l="1"/>
  <c r="G12" i="16" s="1"/>
  <c r="AF89" i="16"/>
  <c r="I12" i="16" s="1"/>
  <c r="AF90" i="16"/>
  <c r="F12" i="16" s="1"/>
  <c r="AF87" i="16"/>
  <c r="H12" i="16" s="1"/>
  <c r="D12" i="16"/>
  <c r="C12" i="16"/>
  <c r="P37" i="16" l="1"/>
  <c r="G13" i="16" s="1"/>
  <c r="P36" i="16"/>
  <c r="F13" i="16" s="1"/>
  <c r="AE28" i="16"/>
  <c r="G10" i="16" s="1"/>
  <c r="AE29" i="16"/>
  <c r="I10" i="16" s="1"/>
  <c r="AE27" i="16"/>
  <c r="F10" i="16" s="1"/>
  <c r="W94" i="16"/>
  <c r="F6" i="16" s="1"/>
  <c r="G110" i="16" l="1"/>
  <c r="G8" i="16" s="1"/>
  <c r="P104" i="16" l="1"/>
  <c r="G9" i="16" s="1"/>
  <c r="P103" i="16"/>
  <c r="F9" i="16" s="1"/>
  <c r="M78" i="16" l="1"/>
  <c r="I5" i="16" s="1"/>
  <c r="M80" i="16"/>
  <c r="G5" i="16" s="1"/>
  <c r="M79" i="16"/>
  <c r="F5" i="16" s="1"/>
  <c r="J72" i="16" l="1"/>
  <c r="F7" i="16" s="1"/>
  <c r="J71" i="16"/>
  <c r="G7" i="16" s="1"/>
  <c r="M65" i="16" l="1"/>
  <c r="G3" i="16" s="1"/>
  <c r="M64" i="16"/>
  <c r="F3" i="16" s="1"/>
  <c r="Y57" i="16" l="1"/>
  <c r="G2" i="16" s="1"/>
  <c r="Y58" i="16"/>
  <c r="I2" i="16" s="1"/>
  <c r="Y56" i="16"/>
  <c r="F2" i="16" s="1"/>
  <c r="I45" i="16" l="1"/>
  <c r="G4" i="16" s="1"/>
  <c r="I44" i="16"/>
  <c r="F4" i="16" s="1"/>
  <c r="I43" i="16" l="1"/>
  <c r="H21" i="16" l="1"/>
  <c r="F11" i="16" s="1"/>
  <c r="H22" i="16"/>
  <c r="I11" i="16" s="1"/>
  <c r="H20" i="16"/>
  <c r="G11" i="16" s="1"/>
  <c r="G112" i="16" l="1"/>
  <c r="H8" i="16" s="1"/>
  <c r="G109" i="16"/>
  <c r="C8" i="16" s="1"/>
  <c r="P105" i="16"/>
  <c r="H9" i="16" s="1"/>
  <c r="P102" i="16"/>
  <c r="W98" i="16"/>
  <c r="H6" i="16" s="1"/>
  <c r="E6" i="16" s="1"/>
  <c r="W95" i="16"/>
  <c r="AF86" i="16"/>
  <c r="AG87" i="16" s="1"/>
  <c r="E12" i="16" s="1"/>
  <c r="M82" i="16"/>
  <c r="H5" i="16" s="1"/>
  <c r="M81" i="16"/>
  <c r="J74" i="16"/>
  <c r="H7" i="16" s="1"/>
  <c r="J73" i="16"/>
  <c r="M67" i="16"/>
  <c r="H3" i="16" s="1"/>
  <c r="M66" i="16"/>
  <c r="Y60" i="16"/>
  <c r="H2" i="16" s="1"/>
  <c r="Y59" i="16"/>
  <c r="K52" i="16"/>
  <c r="H14" i="16" s="1"/>
  <c r="K51" i="16"/>
  <c r="I47" i="16"/>
  <c r="H4" i="16" s="1"/>
  <c r="P39" i="16"/>
  <c r="H13" i="16" s="1"/>
  <c r="P35" i="16"/>
  <c r="AE31" i="16"/>
  <c r="H10" i="16" s="1"/>
  <c r="AE30" i="16"/>
  <c r="H23" i="16"/>
  <c r="H11" i="16" s="1"/>
  <c r="H19" i="16"/>
  <c r="AL18" i="1" l="1"/>
  <c r="AL17" i="1"/>
  <c r="AL15" i="1"/>
  <c r="AL13" i="1"/>
  <c r="AL12" i="1"/>
  <c r="AL11" i="1"/>
  <c r="AL10" i="1"/>
  <c r="C3" i="16" s="1"/>
  <c r="AL8" i="1" l="1"/>
  <c r="AL7" i="1"/>
  <c r="AL6" i="1"/>
  <c r="AL4" i="1"/>
  <c r="AL3" i="1"/>
  <c r="AL2" i="1"/>
  <c r="D7" i="16" l="1"/>
  <c r="E7" i="16"/>
  <c r="C7" i="16"/>
  <c r="D6" i="16" l="1"/>
  <c r="D5" i="16" l="1"/>
  <c r="E5" i="16"/>
  <c r="C5" i="16"/>
  <c r="D4" i="16" l="1"/>
  <c r="E4" i="16"/>
  <c r="C4" i="16"/>
  <c r="C2" i="16" l="1"/>
  <c r="D2" i="16"/>
  <c r="E2" i="16"/>
  <c r="C14" i="16" l="1"/>
  <c r="D13" i="16" l="1"/>
  <c r="E13" i="16"/>
  <c r="C13" i="16"/>
  <c r="D11" i="16" l="1"/>
  <c r="E11" i="16"/>
  <c r="C11" i="16"/>
  <c r="D10" i="16" l="1"/>
  <c r="E10" i="16"/>
  <c r="C10" i="16"/>
  <c r="AK18" i="1" l="1"/>
  <c r="AJ18" i="1"/>
  <c r="AI18" i="1"/>
  <c r="AH18" i="1"/>
  <c r="AQ18" i="1" s="1"/>
  <c r="AK17" i="1"/>
  <c r="AJ17" i="1"/>
  <c r="AI17" i="1"/>
  <c r="AK15" i="1"/>
  <c r="AJ15" i="1"/>
  <c r="AI15" i="1"/>
  <c r="AH15" i="1"/>
  <c r="AQ15" i="1" s="1"/>
  <c r="AK13" i="1"/>
  <c r="AJ13" i="1"/>
  <c r="AI13" i="1"/>
  <c r="AH13" i="1"/>
  <c r="AQ13" i="1" s="1"/>
  <c r="AK12" i="1"/>
  <c r="AJ12" i="1"/>
  <c r="AI12" i="1"/>
  <c r="AH12" i="1"/>
  <c r="AQ12" i="1" s="1"/>
  <c r="AK11" i="1"/>
  <c r="AJ11" i="1"/>
  <c r="AI11" i="1"/>
  <c r="AH11" i="1"/>
  <c r="AQ11" i="1" s="1"/>
  <c r="AK10" i="1"/>
  <c r="AJ10" i="1"/>
  <c r="AI10" i="1"/>
  <c r="AH10" i="1"/>
  <c r="AQ10" i="1" s="1"/>
  <c r="AK8" i="1"/>
  <c r="AJ8" i="1"/>
  <c r="AH8" i="1"/>
  <c r="AI8" i="1"/>
  <c r="AK7" i="1"/>
  <c r="AJ7" i="1"/>
  <c r="AH7" i="1"/>
  <c r="AQ7" i="1" s="1"/>
  <c r="AI7" i="1"/>
  <c r="AK6" i="1"/>
  <c r="AH6" i="1"/>
  <c r="AQ6" i="1" s="1"/>
  <c r="AI6" i="1"/>
  <c r="AK4" i="1"/>
  <c r="AJ4" i="1"/>
  <c r="AI4" i="1"/>
  <c r="AH4" i="1"/>
  <c r="AI3" i="1"/>
  <c r="AH3" i="1"/>
  <c r="AQ3" i="1" s="1"/>
  <c r="AH17" i="1"/>
  <c r="AQ17" i="1" s="1"/>
  <c r="AQ2" i="1"/>
  <c r="AK3" i="1"/>
  <c r="AJ3" i="1"/>
  <c r="AK2" i="1"/>
  <c r="AJ2" i="1"/>
  <c r="N21" i="13" l="1"/>
  <c r="M21" i="13"/>
  <c r="L21" i="13"/>
  <c r="J21" i="13"/>
  <c r="I21" i="13"/>
  <c r="H21" i="13"/>
  <c r="H46" i="13" s="1"/>
  <c r="G21" i="13"/>
  <c r="F21" i="13"/>
  <c r="E21" i="13"/>
  <c r="D21" i="13"/>
  <c r="B21" i="13"/>
  <c r="N20" i="13"/>
  <c r="M20" i="13"/>
  <c r="K24" i="13"/>
  <c r="K42" i="13" s="1"/>
  <c r="K46" i="13" s="1"/>
  <c r="J20" i="13"/>
  <c r="H20" i="13"/>
  <c r="G20" i="13"/>
  <c r="F20" i="13"/>
  <c r="E20" i="13"/>
  <c r="D20" i="13"/>
  <c r="C20" i="13"/>
  <c r="B20" i="13"/>
  <c r="N17" i="13"/>
  <c r="AD39" i="13" s="1"/>
  <c r="M17" i="13"/>
  <c r="R39" i="13" s="1"/>
  <c r="L17" i="13"/>
  <c r="X39" i="13" s="1"/>
  <c r="AC39" i="13"/>
  <c r="J17" i="13"/>
  <c r="AB39" i="13" s="1"/>
  <c r="I17" i="13"/>
  <c r="AA39" i="13" s="1"/>
  <c r="H17" i="13"/>
  <c r="S39" i="13" s="1"/>
  <c r="G17" i="13"/>
  <c r="W39" i="13" s="1"/>
  <c r="F17" i="13"/>
  <c r="U39" i="13" s="1"/>
  <c r="E17" i="13"/>
  <c r="T39" i="13" s="1"/>
  <c r="D17" i="13"/>
  <c r="V39" i="13" s="1"/>
  <c r="C17" i="13"/>
  <c r="B17" i="13"/>
  <c r="Y39" i="13" s="1"/>
  <c r="N16" i="13"/>
  <c r="AD38" i="13" s="1"/>
  <c r="M16" i="13"/>
  <c r="R38" i="13" s="1"/>
  <c r="L16" i="13"/>
  <c r="X38" i="13" s="1"/>
  <c r="AC38" i="13"/>
  <c r="J16" i="13"/>
  <c r="AB38" i="13" s="1"/>
  <c r="I16" i="13"/>
  <c r="AA38" i="13" s="1"/>
  <c r="H16" i="13"/>
  <c r="S38" i="13" s="1"/>
  <c r="G16" i="13"/>
  <c r="W38" i="13" s="1"/>
  <c r="F16" i="13"/>
  <c r="U38" i="13" s="1"/>
  <c r="E16" i="13"/>
  <c r="T38" i="13" s="1"/>
  <c r="D16" i="13"/>
  <c r="V38" i="13" s="1"/>
  <c r="C16" i="13"/>
  <c r="Z38" i="13" s="1"/>
  <c r="B16" i="13"/>
  <c r="Y38" i="13" s="1"/>
  <c r="V37" i="13" l="1"/>
  <c r="U37" i="13"/>
  <c r="F46" i="13"/>
  <c r="AB37" i="13"/>
  <c r="R37" i="13"/>
  <c r="Y37" i="13"/>
  <c r="B46" i="13"/>
  <c r="T37" i="13"/>
  <c r="E46" i="13"/>
  <c r="W37" i="13"/>
  <c r="AA37" i="13"/>
  <c r="I46" i="13"/>
  <c r="X37" i="13"/>
  <c r="AD37" i="13"/>
  <c r="N46" i="13"/>
  <c r="G24" i="13"/>
  <c r="W68" i="13" s="1"/>
  <c r="W36" i="13"/>
  <c r="D24" i="13"/>
  <c r="V68" i="13" s="1"/>
  <c r="V36" i="13"/>
  <c r="H24" i="13"/>
  <c r="S68" i="13" s="1"/>
  <c r="S36" i="13"/>
  <c r="E24" i="13"/>
  <c r="T68" i="13" s="1"/>
  <c r="T36" i="13"/>
  <c r="J24" i="13"/>
  <c r="AB68" i="13" s="1"/>
  <c r="AB36" i="13"/>
  <c r="F24" i="13"/>
  <c r="U68" i="13" s="1"/>
  <c r="U36" i="13"/>
  <c r="S37" i="13"/>
  <c r="B29" i="13"/>
  <c r="M24" i="13"/>
  <c r="R68" i="13" s="1"/>
  <c r="R36" i="13"/>
  <c r="B24" i="13"/>
  <c r="Y68" i="13" s="1"/>
  <c r="Y36" i="13"/>
  <c r="C24" i="13"/>
  <c r="Z68" i="13" s="1"/>
  <c r="Z36" i="13"/>
  <c r="N24" i="13"/>
  <c r="AD68" i="13" s="1"/>
  <c r="AD36" i="13"/>
  <c r="B28" i="13"/>
  <c r="AC68" i="13"/>
  <c r="D25" i="13"/>
  <c r="V69" i="13" s="1"/>
  <c r="L25" i="13"/>
  <c r="X69" i="13" s="1"/>
  <c r="E25" i="13"/>
  <c r="I25" i="13"/>
  <c r="AA69" i="13" s="1"/>
  <c r="M25" i="13"/>
  <c r="R69" i="13" s="1"/>
  <c r="B25" i="13"/>
  <c r="Y69" i="13" s="1"/>
  <c r="F25" i="13"/>
  <c r="U69" i="13" s="1"/>
  <c r="J25" i="13"/>
  <c r="AB69" i="13" s="1"/>
  <c r="N25" i="13"/>
  <c r="Z39" i="13"/>
  <c r="C25" i="13"/>
  <c r="Z69" i="13" s="1"/>
  <c r="G25" i="13"/>
  <c r="W69" i="13" s="1"/>
  <c r="AC69" i="13"/>
  <c r="H25" i="13"/>
  <c r="E71" i="13"/>
  <c r="E74" i="13" s="1"/>
  <c r="I71" i="13"/>
  <c r="I74" i="13" s="1"/>
  <c r="M71" i="13"/>
  <c r="M74" i="13" s="1"/>
  <c r="B71" i="13"/>
  <c r="B74" i="13" s="1"/>
  <c r="J71" i="13"/>
  <c r="J74" i="13" s="1"/>
  <c r="N71" i="13"/>
  <c r="N74" i="13" s="1"/>
  <c r="C71" i="13"/>
  <c r="C74" i="13" s="1"/>
  <c r="G71" i="13"/>
  <c r="G74" i="13" s="1"/>
  <c r="K71" i="13"/>
  <c r="K74" i="13" s="1"/>
  <c r="F71" i="13"/>
  <c r="F74" i="13" s="1"/>
  <c r="D71" i="13"/>
  <c r="D74" i="13" s="1"/>
  <c r="H71" i="13"/>
  <c r="H74" i="13" s="1"/>
  <c r="L71" i="13"/>
  <c r="L74" i="13" s="1"/>
  <c r="V3" i="13"/>
  <c r="AD3" i="13"/>
  <c r="Y2" i="13"/>
  <c r="U2" i="13"/>
  <c r="AB2" i="13"/>
  <c r="AD2" i="13"/>
  <c r="Z2" i="13"/>
  <c r="T2" i="13"/>
  <c r="W2" i="13"/>
  <c r="AA2" i="13"/>
  <c r="AC2" i="13"/>
  <c r="R2" i="13"/>
  <c r="V2" i="13"/>
  <c r="S2" i="13"/>
  <c r="X2" i="13"/>
  <c r="S69" i="13" l="1"/>
  <c r="T69" i="13"/>
  <c r="AD69" i="13"/>
  <c r="U3" i="13"/>
  <c r="S3" i="13"/>
  <c r="Z3" i="13"/>
  <c r="X3" i="13"/>
  <c r="AC3" i="13"/>
  <c r="AA3" i="13"/>
  <c r="W3" i="13"/>
  <c r="R3" i="13"/>
  <c r="T3" i="13"/>
  <c r="AB3" i="13"/>
  <c r="Y3" i="13"/>
  <c r="L42" i="13"/>
  <c r="L46" i="13" s="1"/>
  <c r="J42" i="13"/>
  <c r="J46" i="13" s="1"/>
  <c r="G42" i="13"/>
  <c r="G46" i="13" s="1"/>
  <c r="D42" i="13"/>
  <c r="D46" i="13" s="1"/>
  <c r="M42" i="13"/>
  <c r="M46" i="13" s="1"/>
  <c r="C29" i="13"/>
  <c r="C28" i="13"/>
  <c r="B33" i="13" l="1"/>
  <c r="C33" i="13" s="1"/>
  <c r="D33" i="13" s="1"/>
  <c r="C37" i="13" s="1"/>
  <c r="D29" i="13" s="1"/>
  <c r="B40" i="13"/>
  <c r="B44" i="13" s="1"/>
  <c r="B32" i="13"/>
  <c r="C32" i="13" s="1"/>
  <c r="D32" i="13" s="1"/>
  <c r="C36" i="13" s="1"/>
  <c r="D28" i="13" s="1"/>
  <c r="C40" i="13" l="1"/>
  <c r="C44" i="13" s="1"/>
  <c r="N16" i="12"/>
  <c r="M16" i="12"/>
  <c r="L16" i="12"/>
  <c r="J16" i="12"/>
  <c r="I16" i="12"/>
  <c r="H16" i="12"/>
  <c r="G16" i="12"/>
  <c r="F16" i="12"/>
  <c r="E16" i="12"/>
  <c r="D16" i="12"/>
  <c r="C16" i="12"/>
  <c r="B16" i="12"/>
  <c r="N15" i="12"/>
  <c r="AD31" i="12" s="1"/>
  <c r="M15" i="12"/>
  <c r="AC31" i="12" s="1"/>
  <c r="L15" i="12"/>
  <c r="AB31" i="12" s="1"/>
  <c r="AA31" i="12"/>
  <c r="J15" i="12"/>
  <c r="Z31" i="12" s="1"/>
  <c r="I15" i="12"/>
  <c r="Y31" i="12" s="1"/>
  <c r="H15" i="12"/>
  <c r="X31" i="12" s="1"/>
  <c r="G15" i="12"/>
  <c r="W31" i="12" s="1"/>
  <c r="F15" i="12"/>
  <c r="V31" i="12" s="1"/>
  <c r="E15" i="12"/>
  <c r="U31" i="12" s="1"/>
  <c r="D15" i="12"/>
  <c r="T31" i="12" s="1"/>
  <c r="C15" i="12"/>
  <c r="S31" i="12" s="1"/>
  <c r="B15" i="12"/>
  <c r="R31" i="12" s="1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N16" i="11"/>
  <c r="AD34" i="11" s="1"/>
  <c r="M16" i="11"/>
  <c r="AC34" i="11" s="1"/>
  <c r="L16" i="11"/>
  <c r="AB34" i="11" s="1"/>
  <c r="AA34" i="11"/>
  <c r="J16" i="11"/>
  <c r="Z34" i="11" s="1"/>
  <c r="I16" i="11"/>
  <c r="Y34" i="11" s="1"/>
  <c r="H16" i="11"/>
  <c r="X34" i="11" s="1"/>
  <c r="G16" i="11"/>
  <c r="W34" i="11" s="1"/>
  <c r="F16" i="11"/>
  <c r="V34" i="11" s="1"/>
  <c r="E16" i="11"/>
  <c r="U34" i="11" s="1"/>
  <c r="D16" i="11"/>
  <c r="T34" i="11" s="1"/>
  <c r="C16" i="11"/>
  <c r="S34" i="11" s="1"/>
  <c r="B16" i="11"/>
  <c r="N15" i="11"/>
  <c r="AD33" i="11" s="1"/>
  <c r="M15" i="11"/>
  <c r="AC33" i="11" s="1"/>
  <c r="L15" i="11"/>
  <c r="AB33" i="11" s="1"/>
  <c r="AA33" i="11"/>
  <c r="J15" i="11"/>
  <c r="Z33" i="11" s="1"/>
  <c r="I15" i="11"/>
  <c r="Y33" i="11" s="1"/>
  <c r="H15" i="11"/>
  <c r="X33" i="11" s="1"/>
  <c r="G15" i="11"/>
  <c r="W33" i="11" s="1"/>
  <c r="F15" i="11"/>
  <c r="V33" i="11" s="1"/>
  <c r="E15" i="11"/>
  <c r="U33" i="11" s="1"/>
  <c r="D15" i="11"/>
  <c r="T33" i="11" s="1"/>
  <c r="C15" i="11"/>
  <c r="S33" i="11" s="1"/>
  <c r="B15" i="11"/>
  <c r="R33" i="11" s="1"/>
  <c r="AD32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D20" i="12" l="1"/>
  <c r="T3" i="12" s="1"/>
  <c r="T32" i="12"/>
  <c r="H20" i="12"/>
  <c r="X3" i="12" s="1"/>
  <c r="X32" i="12"/>
  <c r="E20" i="12"/>
  <c r="U3" i="12" s="1"/>
  <c r="U32" i="12"/>
  <c r="I20" i="12"/>
  <c r="Y3" i="12" s="1"/>
  <c r="Y32" i="12"/>
  <c r="M20" i="12"/>
  <c r="AC3" i="12" s="1"/>
  <c r="AC32" i="12"/>
  <c r="L20" i="12"/>
  <c r="AB3" i="12" s="1"/>
  <c r="AB32" i="12"/>
  <c r="B20" i="11"/>
  <c r="R3" i="11" s="1"/>
  <c r="R34" i="11"/>
  <c r="B20" i="12"/>
  <c r="R3" i="12" s="1"/>
  <c r="R32" i="12"/>
  <c r="F20" i="12"/>
  <c r="V3" i="12" s="1"/>
  <c r="V32" i="12"/>
  <c r="J20" i="12"/>
  <c r="Z3" i="12" s="1"/>
  <c r="Z32" i="12"/>
  <c r="N20" i="12"/>
  <c r="AD3" i="12" s="1"/>
  <c r="AD32" i="12"/>
  <c r="C20" i="12"/>
  <c r="S3" i="12" s="1"/>
  <c r="S32" i="12"/>
  <c r="G20" i="12"/>
  <c r="W3" i="12" s="1"/>
  <c r="W32" i="12"/>
  <c r="K20" i="12"/>
  <c r="AA3" i="12" s="1"/>
  <c r="AA32" i="12"/>
  <c r="D20" i="11"/>
  <c r="T3" i="11" s="1"/>
  <c r="F20" i="11"/>
  <c r="V3" i="11" s="1"/>
  <c r="H20" i="11"/>
  <c r="X3" i="11" s="1"/>
  <c r="J20" i="11"/>
  <c r="Z3" i="11" s="1"/>
  <c r="L20" i="11"/>
  <c r="AB3" i="11" s="1"/>
  <c r="N20" i="11"/>
  <c r="AD3" i="11" s="1"/>
  <c r="C20" i="11"/>
  <c r="S3" i="11" s="1"/>
  <c r="E20" i="11"/>
  <c r="U3" i="11" s="1"/>
  <c r="G20" i="11"/>
  <c r="W3" i="11" s="1"/>
  <c r="I20" i="11"/>
  <c r="Y3" i="11" s="1"/>
  <c r="K20" i="11"/>
  <c r="AA3" i="11" s="1"/>
  <c r="M20" i="11"/>
  <c r="AC3" i="11" s="1"/>
  <c r="G19" i="12"/>
  <c r="W2" i="12" s="1"/>
  <c r="C19" i="12"/>
  <c r="S2" i="12" s="1"/>
  <c r="E19" i="12"/>
  <c r="U2" i="12" s="1"/>
  <c r="I19" i="12"/>
  <c r="Y2" i="12" s="1"/>
  <c r="K19" i="12"/>
  <c r="AA2" i="12" s="1"/>
  <c r="M19" i="12"/>
  <c r="AC2" i="12" s="1"/>
  <c r="B19" i="12"/>
  <c r="D19" i="12"/>
  <c r="T2" i="12" s="1"/>
  <c r="F19" i="12"/>
  <c r="V2" i="12" s="1"/>
  <c r="H19" i="12"/>
  <c r="X2" i="12" s="1"/>
  <c r="J19" i="12"/>
  <c r="Z2" i="12" s="1"/>
  <c r="L19" i="12"/>
  <c r="AB2" i="12" s="1"/>
  <c r="N19" i="12"/>
  <c r="AD2" i="12" s="1"/>
  <c r="C19" i="11"/>
  <c r="S2" i="11" s="1"/>
  <c r="E19" i="11"/>
  <c r="U2" i="11" s="1"/>
  <c r="G19" i="11"/>
  <c r="W2" i="11" s="1"/>
  <c r="I19" i="11"/>
  <c r="Y2" i="11" s="1"/>
  <c r="K19" i="11"/>
  <c r="AA2" i="11" s="1"/>
  <c r="M19" i="11"/>
  <c r="AC2" i="11" s="1"/>
  <c r="B19" i="11"/>
  <c r="D19" i="11"/>
  <c r="T2" i="11" s="1"/>
  <c r="F19" i="11"/>
  <c r="V2" i="11" s="1"/>
  <c r="H19" i="11"/>
  <c r="X2" i="11" s="1"/>
  <c r="J19" i="11"/>
  <c r="Z2" i="11" s="1"/>
  <c r="L19" i="11"/>
  <c r="AB2" i="11" s="1"/>
  <c r="N19" i="11"/>
  <c r="AD2" i="11" s="1"/>
  <c r="B24" i="12" l="1"/>
  <c r="B28" i="12" s="1"/>
  <c r="C28" i="12" s="1"/>
  <c r="D28" i="12" s="1"/>
  <c r="C32" i="12" s="1"/>
  <c r="C24" i="12" s="1"/>
  <c r="B24" i="11"/>
  <c r="B28" i="11" s="1"/>
  <c r="C28" i="11" s="1"/>
  <c r="D28" i="11" s="1"/>
  <c r="C32" i="11" s="1"/>
  <c r="C24" i="11" s="1"/>
  <c r="B23" i="12"/>
  <c r="R2" i="12"/>
  <c r="B23" i="11"/>
  <c r="B27" i="11" s="1"/>
  <c r="C27" i="11" s="1"/>
  <c r="D27" i="11" s="1"/>
  <c r="C31" i="11" s="1"/>
  <c r="C23" i="11" s="1"/>
  <c r="R2" i="11"/>
  <c r="N16" i="10"/>
  <c r="M16" i="10"/>
  <c r="L16" i="10"/>
  <c r="J16" i="10"/>
  <c r="I16" i="10"/>
  <c r="H16" i="10"/>
  <c r="G16" i="10"/>
  <c r="F16" i="10"/>
  <c r="E16" i="10"/>
  <c r="D16" i="10"/>
  <c r="C16" i="10"/>
  <c r="B16" i="10"/>
  <c r="N15" i="10"/>
  <c r="AD31" i="10" s="1"/>
  <c r="M15" i="10"/>
  <c r="AC31" i="10" s="1"/>
  <c r="L15" i="10"/>
  <c r="AB31" i="10" s="1"/>
  <c r="AA31" i="10"/>
  <c r="J15" i="10"/>
  <c r="Z31" i="10" s="1"/>
  <c r="I15" i="10"/>
  <c r="Y31" i="10" s="1"/>
  <c r="H15" i="10"/>
  <c r="X31" i="10" s="1"/>
  <c r="G15" i="10"/>
  <c r="W31" i="10" s="1"/>
  <c r="F15" i="10"/>
  <c r="V31" i="10" s="1"/>
  <c r="E15" i="10"/>
  <c r="U31" i="10" s="1"/>
  <c r="D15" i="10"/>
  <c r="T31" i="10" s="1"/>
  <c r="C15" i="10"/>
  <c r="S31" i="10" s="1"/>
  <c r="B15" i="10"/>
  <c r="R31" i="10" s="1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D20" i="10" l="1"/>
  <c r="T3" i="10" s="1"/>
  <c r="T32" i="10"/>
  <c r="L20" i="10"/>
  <c r="AB3" i="10" s="1"/>
  <c r="AB32" i="10"/>
  <c r="E20" i="10"/>
  <c r="U3" i="10" s="1"/>
  <c r="U32" i="10"/>
  <c r="I20" i="10"/>
  <c r="Y3" i="10" s="1"/>
  <c r="Y32" i="10"/>
  <c r="M20" i="10"/>
  <c r="AC3" i="10" s="1"/>
  <c r="AC32" i="10"/>
  <c r="B20" i="10"/>
  <c r="R32" i="10"/>
  <c r="F20" i="10"/>
  <c r="V3" i="10" s="1"/>
  <c r="V32" i="10"/>
  <c r="J20" i="10"/>
  <c r="Z3" i="10" s="1"/>
  <c r="Z32" i="10"/>
  <c r="N20" i="10"/>
  <c r="AD3" i="10" s="1"/>
  <c r="AD32" i="10"/>
  <c r="H20" i="10"/>
  <c r="X3" i="10" s="1"/>
  <c r="X32" i="10"/>
  <c r="C20" i="10"/>
  <c r="S3" i="10" s="1"/>
  <c r="S32" i="10"/>
  <c r="G20" i="10"/>
  <c r="W3" i="10" s="1"/>
  <c r="W32" i="10"/>
  <c r="K20" i="10"/>
  <c r="AA3" i="10" s="1"/>
  <c r="AA32" i="10"/>
  <c r="B27" i="12"/>
  <c r="C27" i="12" s="1"/>
  <c r="D27" i="12" s="1"/>
  <c r="C31" i="12" s="1"/>
  <c r="C23" i="12" s="1"/>
  <c r="B31" i="11"/>
  <c r="B32" i="11"/>
  <c r="B32" i="12"/>
  <c r="C19" i="10"/>
  <c r="S2" i="10" s="1"/>
  <c r="E19" i="10"/>
  <c r="U2" i="10" s="1"/>
  <c r="G19" i="10"/>
  <c r="W2" i="10" s="1"/>
  <c r="I19" i="10"/>
  <c r="Y2" i="10" s="1"/>
  <c r="K19" i="10"/>
  <c r="AA2" i="10" s="1"/>
  <c r="M19" i="10"/>
  <c r="AC2" i="10" s="1"/>
  <c r="B19" i="10"/>
  <c r="D19" i="10"/>
  <c r="T2" i="10" s="1"/>
  <c r="F19" i="10"/>
  <c r="V2" i="10" s="1"/>
  <c r="H19" i="10"/>
  <c r="X2" i="10" s="1"/>
  <c r="J19" i="10"/>
  <c r="Z2" i="10" s="1"/>
  <c r="L19" i="10"/>
  <c r="AB2" i="10" s="1"/>
  <c r="N19" i="10"/>
  <c r="AD2" i="10" s="1"/>
  <c r="B24" i="10" l="1"/>
  <c r="B28" i="10" s="1"/>
  <c r="C28" i="10" s="1"/>
  <c r="D28" i="10" s="1"/>
  <c r="C32" i="10" s="1"/>
  <c r="C24" i="10" s="1"/>
  <c r="R3" i="10"/>
  <c r="B31" i="12"/>
  <c r="B23" i="10"/>
  <c r="B27" i="10" s="1"/>
  <c r="C27" i="10" s="1"/>
  <c r="D27" i="10" s="1"/>
  <c r="C31" i="10" s="1"/>
  <c r="C23" i="10" s="1"/>
  <c r="R2" i="10"/>
  <c r="B31" i="10" l="1"/>
  <c r="B32" i="10"/>
  <c r="D16" i="8" l="1"/>
  <c r="T33" i="8" s="1"/>
  <c r="D15" i="8"/>
  <c r="T32" i="8" s="1"/>
  <c r="E15" i="8" l="1"/>
  <c r="U32" i="8" s="1"/>
  <c r="E16" i="8"/>
  <c r="U33" i="8" s="1"/>
  <c r="K19" i="8" l="1"/>
  <c r="K20" i="8"/>
  <c r="L16" i="8" l="1"/>
  <c r="AB33" i="8" s="1"/>
  <c r="L15" i="8"/>
  <c r="AB32" i="8" s="1"/>
  <c r="D19" i="8" l="1"/>
  <c r="T2" i="8" s="1"/>
  <c r="L19" i="8"/>
  <c r="AB2" i="8" s="1"/>
  <c r="AA3" i="8"/>
  <c r="D20" i="8"/>
  <c r="T3" i="8" s="1"/>
  <c r="N16" i="8"/>
  <c r="AD33" i="8" s="1"/>
  <c r="N15" i="8"/>
  <c r="AD32" i="8" s="1"/>
  <c r="M16" i="8"/>
  <c r="AC33" i="8" s="1"/>
  <c r="M15" i="8"/>
  <c r="AC32" i="8" s="1"/>
  <c r="L20" i="8"/>
  <c r="AB3" i="8" s="1"/>
  <c r="AA2" i="8"/>
  <c r="J16" i="8"/>
  <c r="J15" i="8"/>
  <c r="Z32" i="8" s="1"/>
  <c r="I16" i="8"/>
  <c r="Y33" i="8" s="1"/>
  <c r="I15" i="8"/>
  <c r="Y32" i="8" s="1"/>
  <c r="H16" i="8"/>
  <c r="X33" i="8" s="1"/>
  <c r="H15" i="8"/>
  <c r="X32" i="8" s="1"/>
  <c r="G16" i="8"/>
  <c r="W33" i="8" s="1"/>
  <c r="G15" i="8"/>
  <c r="W32" i="8" s="1"/>
  <c r="F16" i="8"/>
  <c r="V33" i="8" s="1"/>
  <c r="F15" i="8"/>
  <c r="V32" i="8" s="1"/>
  <c r="E19" i="8"/>
  <c r="U2" i="8" s="1"/>
  <c r="C16" i="8"/>
  <c r="S33" i="8" s="1"/>
  <c r="C15" i="8"/>
  <c r="S32" i="8" s="1"/>
  <c r="B16" i="8"/>
  <c r="R33" i="8" s="1"/>
  <c r="B15" i="8"/>
  <c r="R32" i="8" s="1"/>
  <c r="J20" i="8" l="1"/>
  <c r="Z3" i="8" s="1"/>
  <c r="Z33" i="8"/>
  <c r="B20" i="8"/>
  <c r="F20" i="8"/>
  <c r="V3" i="8" s="1"/>
  <c r="G20" i="8"/>
  <c r="W3" i="8" s="1"/>
  <c r="I20" i="8"/>
  <c r="Y3" i="8" s="1"/>
  <c r="C19" i="8"/>
  <c r="S2" i="8" s="1"/>
  <c r="F19" i="8"/>
  <c r="V2" i="8" s="1"/>
  <c r="G19" i="8"/>
  <c r="W2" i="8" s="1"/>
  <c r="H19" i="8"/>
  <c r="X2" i="8" s="1"/>
  <c r="I19" i="8"/>
  <c r="Y2" i="8" s="1"/>
  <c r="J19" i="8"/>
  <c r="Z2" i="8" s="1"/>
  <c r="M19" i="8"/>
  <c r="AC2" i="8" s="1"/>
  <c r="B19" i="8"/>
  <c r="R3" i="8"/>
  <c r="N19" i="8"/>
  <c r="AD2" i="8" s="1"/>
  <c r="C20" i="8"/>
  <c r="S3" i="8" s="1"/>
  <c r="E20" i="8"/>
  <c r="U3" i="8" s="1"/>
  <c r="N20" i="8"/>
  <c r="AD3" i="8" s="1"/>
  <c r="H20" i="8"/>
  <c r="X3" i="8" s="1"/>
  <c r="M20" i="8"/>
  <c r="B23" i="8" l="1"/>
  <c r="B27" i="8" s="1"/>
  <c r="C27" i="8" s="1"/>
  <c r="D27" i="8" s="1"/>
  <c r="C31" i="8" s="1"/>
  <c r="C23" i="8" s="1"/>
  <c r="B24" i="8"/>
  <c r="B28" i="8" s="1"/>
  <c r="C28" i="8" s="1"/>
  <c r="D28" i="8" s="1"/>
  <c r="C32" i="8" s="1"/>
  <c r="C24" i="8" s="1"/>
  <c r="R2" i="8"/>
  <c r="AC3" i="8"/>
  <c r="B32" i="8" l="1"/>
  <c r="B31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mdellx</author>
  </authors>
  <commentList>
    <comment ref="K4" authorId="0" shapeId="0" xr:uid="{00000000-0006-0000-0300-000001000000}">
      <text>
        <r>
          <rPr>
            <b/>
            <sz val="9"/>
            <color indexed="81"/>
            <rFont val="Tahoma"/>
          </rPr>
          <t>mdellx:</t>
        </r>
        <r>
          <rPr>
            <sz val="9"/>
            <color indexed="81"/>
            <rFont val="Tahoma"/>
          </rPr>
          <t xml:space="preserve">
تخمین 2020</t>
        </r>
      </text>
    </comment>
    <comment ref="K9" authorId="0" shapeId="0" xr:uid="{00000000-0006-0000-0300-000002000000}">
      <text>
        <r>
          <rPr>
            <b/>
            <sz val="9"/>
            <color indexed="81"/>
            <rFont val="Tahoma"/>
          </rPr>
          <t>mdellx:</t>
        </r>
        <r>
          <rPr>
            <sz val="9"/>
            <color indexed="81"/>
            <rFont val="Tahoma"/>
          </rPr>
          <t xml:space="preserve">
2015</t>
        </r>
      </text>
    </comment>
    <comment ref="M9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mdellx:</t>
        </r>
        <r>
          <rPr>
            <sz val="9"/>
            <color indexed="81"/>
            <rFont val="Tahoma"/>
            <family val="2"/>
          </rPr>
          <t xml:space="preserve">
2017
</t>
        </r>
      </text>
    </comment>
    <comment ref="N9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mdellx:</t>
        </r>
        <r>
          <rPr>
            <sz val="9"/>
            <color indexed="81"/>
            <rFont val="Tahoma"/>
            <family val="2"/>
          </rPr>
          <t xml:space="preserve">
2010</t>
        </r>
      </text>
    </comment>
    <comment ref="K14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mdellx:</t>
        </r>
        <r>
          <rPr>
            <sz val="9"/>
            <color indexed="81"/>
            <rFont val="Tahoma"/>
            <family val="2"/>
          </rPr>
          <t xml:space="preserve">
تخمین 2020</t>
        </r>
      </text>
    </comment>
    <comment ref="M14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mdellx:</t>
        </r>
        <r>
          <rPr>
            <sz val="9"/>
            <color indexed="81"/>
            <rFont val="Tahoma"/>
            <family val="2"/>
          </rPr>
          <t xml:space="preserve">
2019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mdellx</author>
  </authors>
  <commentList>
    <comment ref="AT14" authorId="0" shapeId="0" xr:uid="{00000000-0006-0000-0400-000001000000}">
      <text>
        <r>
          <rPr>
            <b/>
            <sz val="9"/>
            <color indexed="81"/>
            <rFont val="Tahoma"/>
          </rPr>
          <t>mdellx:</t>
        </r>
        <r>
          <rPr>
            <sz val="9"/>
            <color indexed="81"/>
            <rFont val="Tahoma"/>
          </rPr>
          <t xml:space="preserve">
تخمین 2020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mdellx</author>
  </authors>
  <commentList>
    <comment ref="K3" authorId="0" shapeId="0" xr:uid="{00000000-0006-0000-0500-000001000000}">
      <text>
        <r>
          <rPr>
            <b/>
            <sz val="9"/>
            <color indexed="81"/>
            <rFont val="Tahoma"/>
          </rPr>
          <t>mdellx:</t>
        </r>
        <r>
          <rPr>
            <sz val="9"/>
            <color indexed="81"/>
            <rFont val="Tahoma"/>
          </rPr>
          <t xml:space="preserve">
تخمین 2020</t>
        </r>
      </text>
    </comment>
    <comment ref="K9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mdellx:</t>
        </r>
        <r>
          <rPr>
            <sz val="9"/>
            <color indexed="81"/>
            <rFont val="Tahoma"/>
            <family val="2"/>
          </rPr>
          <t xml:space="preserve">
تخمین 2020</t>
        </r>
      </text>
    </comment>
    <comment ref="M9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mdellx:</t>
        </r>
        <r>
          <rPr>
            <sz val="9"/>
            <color indexed="81"/>
            <rFont val="Tahoma"/>
            <family val="2"/>
          </rPr>
          <t xml:space="preserve">
2019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mdellx</author>
  </authors>
  <commentList>
    <comment ref="K3" authorId="0" shapeId="0" xr:uid="{00000000-0006-0000-0600-000001000000}">
      <text>
        <r>
          <rPr>
            <b/>
            <sz val="9"/>
            <color indexed="81"/>
            <rFont val="Tahoma"/>
          </rPr>
          <t>mdellx:</t>
        </r>
        <r>
          <rPr>
            <sz val="9"/>
            <color indexed="81"/>
            <rFont val="Tahoma"/>
          </rPr>
          <t xml:space="preserve">
تخمین 2020</t>
        </r>
      </text>
    </comment>
    <comment ref="K9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mdellx:</t>
        </r>
        <r>
          <rPr>
            <sz val="9"/>
            <color indexed="81"/>
            <rFont val="Tahoma"/>
            <family val="2"/>
          </rPr>
          <t xml:space="preserve">
تخمین 2020</t>
        </r>
      </text>
    </comment>
    <comment ref="M9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mdellx:</t>
        </r>
        <r>
          <rPr>
            <sz val="9"/>
            <color indexed="81"/>
            <rFont val="Tahoma"/>
            <family val="2"/>
          </rPr>
          <t xml:space="preserve">
2019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mdellx</author>
  </authors>
  <commentList>
    <comment ref="K3" authorId="0" shapeId="0" xr:uid="{00000000-0006-0000-0700-000001000000}">
      <text>
        <r>
          <rPr>
            <b/>
            <sz val="9"/>
            <color indexed="81"/>
            <rFont val="Tahoma"/>
          </rPr>
          <t>mdellx:</t>
        </r>
        <r>
          <rPr>
            <sz val="9"/>
            <color indexed="81"/>
            <rFont val="Tahoma"/>
          </rPr>
          <t xml:space="preserve">
تخمین 2020</t>
        </r>
      </text>
    </comment>
    <comment ref="K9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mdellx:</t>
        </r>
        <r>
          <rPr>
            <sz val="9"/>
            <color indexed="81"/>
            <rFont val="Tahoma"/>
            <family val="2"/>
          </rPr>
          <t xml:space="preserve">
تخمین 2020</t>
        </r>
      </text>
    </comment>
    <comment ref="M9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mdellx:</t>
        </r>
        <r>
          <rPr>
            <sz val="9"/>
            <color indexed="81"/>
            <rFont val="Tahoma"/>
            <family val="2"/>
          </rPr>
          <t xml:space="preserve">
2019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mdellx</author>
  </authors>
  <commentList>
    <comment ref="K3" authorId="0" shapeId="0" xr:uid="{00000000-0006-0000-0800-000001000000}">
      <text>
        <r>
          <rPr>
            <b/>
            <sz val="9"/>
            <color indexed="81"/>
            <rFont val="Tahoma"/>
          </rPr>
          <t>mdellx:</t>
        </r>
        <r>
          <rPr>
            <sz val="9"/>
            <color indexed="81"/>
            <rFont val="Tahoma"/>
          </rPr>
          <t xml:space="preserve">
تخمین 2020</t>
        </r>
      </text>
    </comment>
    <comment ref="K9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mdellx:</t>
        </r>
        <r>
          <rPr>
            <sz val="9"/>
            <color indexed="81"/>
            <rFont val="Tahoma"/>
            <family val="2"/>
          </rPr>
          <t xml:space="preserve">
تخمین 2020</t>
        </r>
      </text>
    </comment>
    <comment ref="M9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mdellx:</t>
        </r>
        <r>
          <rPr>
            <sz val="9"/>
            <color indexed="81"/>
            <rFont val="Tahoma"/>
            <family val="2"/>
          </rPr>
          <t xml:space="preserve">
2019</t>
        </r>
      </text>
    </comment>
  </commentList>
</comments>
</file>

<file path=xl/sharedStrings.xml><?xml version="1.0" encoding="utf-8"?>
<sst xmlns="http://schemas.openxmlformats.org/spreadsheetml/2006/main" count="923" uniqueCount="132">
  <si>
    <t>شاخص پیشرفت اجتماعی</t>
  </si>
  <si>
    <t>ترکیه</t>
  </si>
  <si>
    <t>ایران</t>
  </si>
  <si>
    <t>شاخص توسعه انسانی</t>
  </si>
  <si>
    <t>شاخص جهانی صلح</t>
  </si>
  <si>
    <t>شاخص نوآوری</t>
  </si>
  <si>
    <t>شاخص حقوق مالکیت</t>
  </si>
  <si>
    <t>شاخص حکمرانی</t>
  </si>
  <si>
    <t>شاخص سهولت کسب و کار</t>
  </si>
  <si>
    <t>شاخص شادی</t>
  </si>
  <si>
    <t>شاخص کامیابی لگاتوم</t>
  </si>
  <si>
    <t>توسعه انسانی</t>
  </si>
  <si>
    <t>صلح</t>
  </si>
  <si>
    <t>نوآوری</t>
  </si>
  <si>
    <t>حقوق مالکیت</t>
  </si>
  <si>
    <t>حکمرانی</t>
  </si>
  <si>
    <t>شادی</t>
  </si>
  <si>
    <t xml:space="preserve">ایران </t>
  </si>
  <si>
    <t>min</t>
  </si>
  <si>
    <t>max</t>
  </si>
  <si>
    <t>کامیابی</t>
  </si>
  <si>
    <t>بهترین کشور</t>
  </si>
  <si>
    <t>بدترین کشور</t>
  </si>
  <si>
    <t>آرمانشهر</t>
  </si>
  <si>
    <t>ویرانشهر</t>
  </si>
  <si>
    <t>کسب و کار</t>
  </si>
  <si>
    <t>شاخص شدت انرژی</t>
  </si>
  <si>
    <t>شاخص دولت شکننده</t>
  </si>
  <si>
    <t>شاخص رقابت پذیری جهانی</t>
  </si>
  <si>
    <t>شاخص عملکرد محیط زیست</t>
  </si>
  <si>
    <t>شدت انرژی</t>
  </si>
  <si>
    <t>دولت شکننده</t>
  </si>
  <si>
    <t xml:space="preserve">رقابت پذیری </t>
  </si>
  <si>
    <t>محیط زیست</t>
  </si>
  <si>
    <t>وزن</t>
  </si>
  <si>
    <t>استاندارد شده</t>
  </si>
  <si>
    <t>نردبان شده</t>
  </si>
  <si>
    <t>بهره وری انرژی</t>
  </si>
  <si>
    <t>دولت غیر شکننده</t>
  </si>
  <si>
    <t xml:space="preserve"> </t>
  </si>
  <si>
    <t>پیشرفت اجتماعی</t>
  </si>
  <si>
    <t>کره جنوبی</t>
  </si>
  <si>
    <t>چین</t>
  </si>
  <si>
    <t>سنگاپور</t>
  </si>
  <si>
    <t>سهولت کسب و کار</t>
  </si>
  <si>
    <t>ضریب توسعه متوازن ایران</t>
  </si>
  <si>
    <t>ضریب توسعه متوازن ترکیه</t>
  </si>
  <si>
    <t>ضریب توسعه متوازن کره جنوبی</t>
  </si>
  <si>
    <t>ضریب توسعه متوازن چین</t>
  </si>
  <si>
    <t>ضریب توسعه متوازن سنگاپور</t>
  </si>
  <si>
    <t>انجراف معیار</t>
  </si>
  <si>
    <t>ضریب تغییرات</t>
  </si>
  <si>
    <t>شاخص توسعه متوازن</t>
  </si>
  <si>
    <t>انحراف معیار</t>
  </si>
  <si>
    <t>رشد شاخص ها</t>
  </si>
  <si>
    <t>ضریب توسعه متوازن 2018</t>
  </si>
  <si>
    <t>ضریب توسعه متوازن 2015</t>
  </si>
  <si>
    <t>رشد نردبان</t>
  </si>
  <si>
    <t>تعداد سالها لازم برای رسیدن به آرمانشهر</t>
  </si>
  <si>
    <t>روند</t>
  </si>
  <si>
    <t>تعداد سال</t>
  </si>
  <si>
    <t>تعداد سال داده</t>
  </si>
  <si>
    <t>شاخص ها</t>
  </si>
  <si>
    <t>شاخص</t>
  </si>
  <si>
    <t>سالهای مورد بررسی</t>
  </si>
  <si>
    <t>میانگین 5 ساله ایران</t>
  </si>
  <si>
    <t>میانگین 5 سال اقتصادهای نوظهور</t>
  </si>
  <si>
    <t xml:space="preserve">شلخص سهولت کسب وکار </t>
  </si>
  <si>
    <t>شاخص عملکرد زیست محیطی</t>
  </si>
  <si>
    <t>شاخص صلح</t>
  </si>
  <si>
    <t>2016-2020</t>
  </si>
  <si>
    <t>میانگین 5 ساله کشورهای نفتی</t>
  </si>
  <si>
    <t>2014-2018</t>
  </si>
  <si>
    <t>2015-2019</t>
  </si>
  <si>
    <t>2012-14-16-18-20</t>
  </si>
  <si>
    <t>میانگین 5 سال آخر</t>
  </si>
  <si>
    <t>رتبه ایران در سال 2010</t>
  </si>
  <si>
    <t>تعداد کل کشورها در هر سال</t>
  </si>
  <si>
    <t>2015-2018</t>
  </si>
  <si>
    <t>2017-2019</t>
  </si>
  <si>
    <t>شاخص رقابت پذیری</t>
  </si>
  <si>
    <t>میانگین 5 ساله آخر</t>
  </si>
  <si>
    <t>رتبه ایران  در سال 2019</t>
  </si>
  <si>
    <t>رتبه ایران  در سال 2015</t>
  </si>
  <si>
    <t>میانگین 5 ساله چین</t>
  </si>
  <si>
    <t>میانگین 5 ساله کره جنوبی</t>
  </si>
  <si>
    <t>میانگین 5 ساله ترکیه</t>
  </si>
  <si>
    <t>میانگین 5 ساله سنگاپور</t>
  </si>
  <si>
    <t>تعداد کل کشورها</t>
  </si>
  <si>
    <t>درصد تغییر در رتبه 10 ساله</t>
  </si>
  <si>
    <t>درصد تغییر در رتبه 5 ساله</t>
  </si>
  <si>
    <t>سال پایه 2010</t>
  </si>
  <si>
    <t>سال پایه 2015</t>
  </si>
  <si>
    <t>شاخص توسعه</t>
  </si>
  <si>
    <t>نرخ رشد کل</t>
  </si>
  <si>
    <t>صلح استاندارد</t>
  </si>
  <si>
    <t>حکمرانی استاندارد</t>
  </si>
  <si>
    <t>اولین سال داده</t>
  </si>
  <si>
    <t>آخرین سال داده</t>
  </si>
  <si>
    <t xml:space="preserve">صلح </t>
  </si>
  <si>
    <t>تعداد سال از 1990</t>
  </si>
  <si>
    <t>پس بینی</t>
  </si>
  <si>
    <t>پیش بینی</t>
  </si>
  <si>
    <t>فراشاخص توسعه</t>
  </si>
  <si>
    <t>رقابت پذیری (2015)</t>
  </si>
  <si>
    <t>سهولت کسب و کار (2010)</t>
  </si>
  <si>
    <t>نوآوری (2013)</t>
  </si>
  <si>
    <t>حقوق مالکیت (2011)</t>
  </si>
  <si>
    <t>صلح (2008)</t>
  </si>
  <si>
    <t>حکمرانی (1996)</t>
  </si>
  <si>
    <t>دولت غیر شکننده (2007)</t>
  </si>
  <si>
    <t>پیشرفت اجتماعی (2014)</t>
  </si>
  <si>
    <t>توسعه انسانی (1990)</t>
  </si>
  <si>
    <t>شادی (2013)</t>
  </si>
  <si>
    <t>کامیابی (2009)</t>
  </si>
  <si>
    <t>بهره وری انرژی (1990)</t>
  </si>
  <si>
    <t>محیط زیست (2000)</t>
  </si>
  <si>
    <t>آخرین سال داده (2020)</t>
  </si>
  <si>
    <t>تعداد سالها لازم برای رسیدن به آرمانشهر  با میانگین نرخ رشد سالانه شاخص</t>
  </si>
  <si>
    <t>بهترین کشور 2015</t>
  </si>
  <si>
    <t>بدترین کشور 2015</t>
  </si>
  <si>
    <t>بهترین کشور 2020</t>
  </si>
  <si>
    <t>بدترین کشور 2020</t>
  </si>
  <si>
    <t>ایران 2020</t>
  </si>
  <si>
    <t>ایران 2015</t>
  </si>
  <si>
    <t>ایران استاندارد</t>
  </si>
  <si>
    <t>نمره فراشاخص توسعه ایران</t>
  </si>
  <si>
    <t>رشد شدت انرژی</t>
  </si>
  <si>
    <t>نردبان توسعه</t>
  </si>
  <si>
    <t>نردبان توسعه متوازن</t>
  </si>
  <si>
    <t xml:space="preserve">حکمرانی </t>
  </si>
  <si>
    <t>رقابت پذیری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</si>
</sst>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0.000"/>
    <numFmt numFmtId="168" formatCode="0.00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indexed="8"/>
      <name val="Arial"/>
      <family val="2"/>
    </font>
    <font>
      <sz val="11"/>
      <name val="Times New Roman"/>
      <family val="1"/>
    </font>
    <font>
      <sz val="10"/>
      <color indexed="8"/>
      <name val="Gill Sans MT"/>
      <family val="2"/>
    </font>
    <font>
      <sz val="14"/>
      <color theme="1"/>
      <name val="B Mitra"/>
      <charset val="178"/>
    </font>
    <font>
      <sz val="14"/>
      <name val="B Nazanin"/>
      <charset val="178"/>
    </font>
    <font>
      <sz val="12"/>
      <color indexed="8"/>
      <name val="Calibri"/>
      <family val="2"/>
      <scheme val="minor"/>
    </font>
    <font>
      <sz val="11"/>
      <color rgb="FF333333"/>
      <name val="Georgia"/>
      <family val="1"/>
    </font>
    <font>
      <sz val="9"/>
      <color rgb="FF333333"/>
      <name val="Oswaldregular"/>
    </font>
    <font>
      <sz val="11"/>
      <name val="B Nazanin"/>
      <charset val="178"/>
    </font>
    <font>
      <sz val="11"/>
      <color theme="1"/>
      <name val="B Nazanin"/>
      <charset val="178"/>
    </font>
    <font>
      <sz val="11"/>
      <color indexed="8"/>
      <name val="B Nazanin"/>
      <charset val="178"/>
    </font>
    <font>
      <b/>
      <sz val="11"/>
      <color theme="1"/>
      <name val="B Nazanin"/>
      <charset val="178"/>
    </font>
    <font>
      <b/>
      <sz val="9"/>
      <color indexed="81"/>
      <name val="Tahoma"/>
    </font>
    <font>
      <sz val="9"/>
      <color indexed="81"/>
      <name val="Tahoma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1"/>
      <color rgb="FF9C5700"/>
      <name val="Calibri"/>
      <family val="2"/>
      <scheme val="minor"/>
    </font>
    <font>
      <b/>
      <sz val="15"/>
      <color theme="3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C593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33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/>
      <top/>
      <bottom style="medium">
        <color rgb="FFDDDDD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1" applyNumberFormat="0" applyFill="0" applyAlignment="0" applyProtection="0"/>
    <xf numFmtId="0" fontId="3" fillId="0" borderId="0"/>
    <xf numFmtId="0" fontId="1" fillId="0" borderId="0"/>
    <xf numFmtId="0" fontId="4" fillId="0" borderId="0"/>
    <xf numFmtId="0" fontId="28" fillId="0" borderId="1" applyNumberFormat="0" applyFill="0" applyAlignment="0" applyProtection="0"/>
    <xf numFmtId="0" fontId="27" fillId="29" borderId="0" applyNumberFormat="0" applyBorder="0" applyAlignment="0" applyProtection="0"/>
  </cellStyleXfs>
  <cellXfs count="197">
    <xf numFmtId="0" fontId="0" fillId="0" borderId="0" xfId="0"/>
    <xf numFmtId="0" fontId="0" fillId="4" borderId="0" xfId="0" applyFill="1"/>
    <xf numFmtId="0" fontId="5" fillId="0" borderId="0" xfId="0" applyFont="1" applyFill="1"/>
    <xf numFmtId="165" fontId="5" fillId="0" borderId="0" xfId="0" applyNumberFormat="1" applyFont="1" applyFill="1"/>
    <xf numFmtId="0" fontId="5" fillId="2" borderId="0" xfId="0" applyFont="1" applyFill="1"/>
    <xf numFmtId="0" fontId="5" fillId="2" borderId="3" xfId="0" applyFont="1" applyFill="1" applyBorder="1"/>
    <xf numFmtId="0" fontId="0" fillId="2" borderId="0" xfId="0" applyFill="1"/>
    <xf numFmtId="0" fontId="0" fillId="0" borderId="0" xfId="0"/>
    <xf numFmtId="0" fontId="0" fillId="5" borderId="0" xfId="0" applyFill="1"/>
    <xf numFmtId="0" fontId="0" fillId="6" borderId="0" xfId="0" applyFill="1"/>
    <xf numFmtId="0" fontId="0" fillId="11" borderId="0" xfId="0" applyFill="1" applyAlignment="1">
      <alignment horizontal="center" vertical="center"/>
    </xf>
    <xf numFmtId="164" fontId="9" fillId="11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3" borderId="0" xfId="0" applyFont="1" applyFill="1"/>
    <xf numFmtId="0" fontId="0" fillId="12" borderId="0" xfId="0" applyFill="1"/>
    <xf numFmtId="0" fontId="10" fillId="13" borderId="0" xfId="0" applyFont="1" applyFill="1"/>
    <xf numFmtId="0" fontId="10" fillId="14" borderId="0" xfId="0" applyFont="1" applyFill="1"/>
    <xf numFmtId="0" fontId="10" fillId="3" borderId="6" xfId="0" applyFont="1" applyFill="1" applyBorder="1"/>
    <xf numFmtId="0" fontId="0" fillId="13" borderId="0" xfId="0" applyFill="1"/>
    <xf numFmtId="0" fontId="0" fillId="0" borderId="0" xfId="0" applyAlignment="1">
      <alignment horizontal="center"/>
    </xf>
    <xf numFmtId="0" fontId="0" fillId="12" borderId="0" xfId="0" applyFill="1" applyAlignment="1">
      <alignment horizontal="center"/>
    </xf>
    <xf numFmtId="0" fontId="0" fillId="1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15" borderId="0" xfId="0" applyFill="1"/>
    <xf numFmtId="0" fontId="10" fillId="8" borderId="0" xfId="0" applyFont="1" applyFill="1"/>
    <xf numFmtId="0" fontId="10" fillId="16" borderId="0" xfId="0" applyFont="1" applyFill="1"/>
    <xf numFmtId="0" fontId="0" fillId="17" borderId="0" xfId="0" applyFill="1"/>
    <xf numFmtId="0" fontId="0" fillId="0" borderId="0" xfId="0"/>
    <xf numFmtId="0" fontId="11" fillId="16" borderId="0" xfId="0" applyFont="1" applyFill="1"/>
    <xf numFmtId="0" fontId="0" fillId="9" borderId="0" xfId="0" applyFill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1" fontId="0" fillId="4" borderId="0" xfId="0" applyNumberFormat="1" applyFill="1"/>
    <xf numFmtId="1" fontId="0" fillId="0" borderId="0" xfId="0" applyNumberFormat="1"/>
    <xf numFmtId="2" fontId="6" fillId="18" borderId="3" xfId="0" applyNumberFormat="1" applyFont="1" applyFill="1" applyBorder="1" applyAlignment="1">
      <alignment horizontal="center" vertical="center"/>
    </xf>
    <xf numFmtId="164" fontId="12" fillId="18" borderId="3" xfId="0" applyNumberFormat="1" applyFont="1" applyFill="1" applyBorder="1" applyAlignment="1">
      <alignment horizontal="center" vertical="center"/>
    </xf>
    <xf numFmtId="0" fontId="5" fillId="18" borderId="3" xfId="0" applyFont="1" applyFill="1" applyBorder="1" applyAlignment="1">
      <alignment horizontal="center" vertical="center"/>
    </xf>
    <xf numFmtId="0" fontId="5" fillId="18" borderId="3" xfId="0" applyFont="1" applyFill="1" applyBorder="1" applyAlignment="1">
      <alignment horizontal="center"/>
    </xf>
    <xf numFmtId="2" fontId="6" fillId="18" borderId="3" xfId="2" applyNumberFormat="1" applyFont="1" applyFill="1" applyBorder="1" applyAlignment="1">
      <alignment horizontal="center"/>
    </xf>
    <xf numFmtId="0" fontId="5" fillId="18" borderId="3" xfId="0" applyFont="1" applyFill="1" applyBorder="1" applyAlignment="1">
      <alignment horizontal="center" readingOrder="1"/>
    </xf>
    <xf numFmtId="164" fontId="6" fillId="18" borderId="3" xfId="1" applyNumberFormat="1" applyFont="1" applyFill="1" applyBorder="1" applyAlignment="1">
      <alignment horizontal="center" vertical="center" wrapText="1"/>
    </xf>
    <xf numFmtId="165" fontId="5" fillId="18" borderId="3" xfId="0" applyNumberFormat="1" applyFont="1" applyFill="1" applyBorder="1" applyAlignment="1">
      <alignment horizontal="center"/>
    </xf>
    <xf numFmtId="166" fontId="12" fillId="18" borderId="3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19" borderId="3" xfId="0" applyFill="1" applyBorder="1" applyAlignment="1">
      <alignment horizontal="center"/>
    </xf>
    <xf numFmtId="0" fontId="0" fillId="19" borderId="3" xfId="0" applyFill="1" applyBorder="1"/>
    <xf numFmtId="0" fontId="13" fillId="0" borderId="0" xfId="0" applyFont="1" applyAlignment="1">
      <alignment horizontal="left" vertical="center" wrapText="1" readingOrder="1"/>
    </xf>
    <xf numFmtId="0" fontId="0" fillId="0" borderId="0" xfId="0" applyAlignment="1">
      <alignment wrapText="1" readingOrder="1"/>
    </xf>
    <xf numFmtId="0" fontId="14" fillId="0" borderId="0" xfId="0" applyFont="1" applyFill="1" applyAlignment="1">
      <alignment wrapText="1" readingOrder="1"/>
    </xf>
    <xf numFmtId="2" fontId="5" fillId="0" borderId="0" xfId="0" applyNumberFormat="1" applyFont="1" applyFill="1"/>
    <xf numFmtId="164" fontId="5" fillId="0" borderId="0" xfId="0" applyNumberFormat="1" applyFont="1" applyFill="1"/>
    <xf numFmtId="0" fontId="0" fillId="8" borderId="0" xfId="0" applyFill="1" applyAlignment="1">
      <alignment horizontal="center"/>
    </xf>
    <xf numFmtId="166" fontId="5" fillId="0" borderId="0" xfId="0" applyNumberFormat="1" applyFont="1" applyFill="1"/>
    <xf numFmtId="0" fontId="5" fillId="21" borderId="0" xfId="0" applyFont="1" applyFill="1"/>
    <xf numFmtId="0" fontId="6" fillId="21" borderId="0" xfId="2" applyFont="1" applyFill="1"/>
    <xf numFmtId="2" fontId="6" fillId="21" borderId="2" xfId="2" applyNumberFormat="1" applyFont="1" applyFill="1" applyBorder="1"/>
    <xf numFmtId="0" fontId="5" fillId="12" borderId="0" xfId="0" applyFont="1" applyFill="1" applyAlignment="1">
      <alignment readingOrder="1"/>
    </xf>
    <xf numFmtId="0" fontId="5" fillId="12" borderId="0" xfId="0" applyFont="1" applyFill="1"/>
    <xf numFmtId="0" fontId="5" fillId="3" borderId="0" xfId="0" applyFont="1" applyFill="1" applyAlignment="1">
      <alignment readingOrder="1"/>
    </xf>
    <xf numFmtId="0" fontId="5" fillId="3" borderId="0" xfId="0" applyFont="1" applyFill="1"/>
    <xf numFmtId="0" fontId="0" fillId="3" borderId="0" xfId="0" applyFill="1" applyAlignment="1">
      <alignment horizontal="center"/>
    </xf>
    <xf numFmtId="0" fontId="5" fillId="21" borderId="0" xfId="0" applyFont="1" applyFill="1" applyAlignment="1">
      <alignment readingOrder="1"/>
    </xf>
    <xf numFmtId="0" fontId="5" fillId="7" borderId="0" xfId="0" applyFont="1" applyFill="1" applyAlignment="1">
      <alignment readingOrder="1"/>
    </xf>
    <xf numFmtId="0" fontId="5" fillId="7" borderId="0" xfId="0" applyFont="1" applyFill="1"/>
    <xf numFmtId="0" fontId="5" fillId="22" borderId="0" xfId="0" applyFont="1" applyFill="1"/>
    <xf numFmtId="0" fontId="5" fillId="19" borderId="0" xfId="0" applyFont="1" applyFill="1"/>
    <xf numFmtId="164" fontId="6" fillId="19" borderId="0" xfId="1" applyNumberFormat="1" applyFont="1" applyFill="1" applyBorder="1" applyAlignment="1">
      <alignment vertical="center" wrapText="1"/>
    </xf>
    <xf numFmtId="164" fontId="6" fillId="19" borderId="4" xfId="1" applyNumberFormat="1" applyFont="1" applyFill="1" applyBorder="1" applyAlignment="1">
      <alignment vertical="center" wrapText="1"/>
    </xf>
    <xf numFmtId="165" fontId="5" fillId="3" borderId="0" xfId="0" applyNumberFormat="1" applyFont="1" applyFill="1"/>
    <xf numFmtId="0" fontId="5" fillId="17" borderId="0" xfId="0" applyFont="1" applyFill="1"/>
    <xf numFmtId="165" fontId="5" fillId="17" borderId="0" xfId="0" applyNumberFormat="1" applyFont="1" applyFill="1"/>
    <xf numFmtId="166" fontId="7" fillId="17" borderId="5" xfId="0" applyNumberFormat="1" applyFont="1" applyFill="1" applyBorder="1" applyAlignment="1">
      <alignment horizontal="right"/>
    </xf>
    <xf numFmtId="166" fontId="7" fillId="22" borderId="5" xfId="0" applyNumberFormat="1" applyFont="1" applyFill="1" applyBorder="1" applyAlignment="1">
      <alignment horizontal="right"/>
    </xf>
    <xf numFmtId="2" fontId="8" fillId="23" borderId="0" xfId="0" applyNumberFormat="1" applyFont="1" applyFill="1" applyAlignment="1">
      <alignment horizontal="center" vertical="center"/>
    </xf>
    <xf numFmtId="0" fontId="5" fillId="23" borderId="0" xfId="0" applyFont="1" applyFill="1" applyAlignment="1">
      <alignment horizontal="center"/>
    </xf>
    <xf numFmtId="0" fontId="15" fillId="21" borderId="0" xfId="2" applyFont="1" applyFill="1" applyAlignment="1">
      <alignment horizontal="center"/>
    </xf>
    <xf numFmtId="0" fontId="16" fillId="21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12" borderId="0" xfId="0" applyFont="1" applyFill="1" applyAlignment="1">
      <alignment horizontal="center" readingOrder="1"/>
    </xf>
    <xf numFmtId="0" fontId="16" fillId="3" borderId="0" xfId="0" applyFont="1" applyFill="1" applyAlignment="1">
      <alignment horizontal="center" readingOrder="1"/>
    </xf>
    <xf numFmtId="0" fontId="16" fillId="21" borderId="0" xfId="0" applyFont="1" applyFill="1" applyAlignment="1">
      <alignment horizontal="center" readingOrder="1"/>
    </xf>
    <xf numFmtId="0" fontId="16" fillId="7" borderId="0" xfId="0" applyFont="1" applyFill="1" applyAlignment="1">
      <alignment horizontal="center" readingOrder="1"/>
    </xf>
    <xf numFmtId="0" fontId="16" fillId="2" borderId="0" xfId="0" applyFont="1" applyFill="1" applyAlignment="1">
      <alignment horizontal="center"/>
    </xf>
    <xf numFmtId="0" fontId="16" fillId="19" borderId="0" xfId="0" applyFont="1" applyFill="1" applyAlignment="1">
      <alignment horizontal="center"/>
    </xf>
    <xf numFmtId="0" fontId="16" fillId="19" borderId="0" xfId="0" applyFont="1" applyFill="1" applyAlignment="1">
      <alignment horizontal="center" readingOrder="1"/>
    </xf>
    <xf numFmtId="0" fontId="16" fillId="22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16" fillId="17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6" fontId="17" fillId="22" borderId="5" xfId="0" applyNumberFormat="1" applyFont="1" applyFill="1" applyBorder="1" applyAlignment="1">
      <alignment horizontal="center"/>
    </xf>
    <xf numFmtId="0" fontId="16" fillId="23" borderId="0" xfId="0" applyFont="1" applyFill="1" applyAlignment="1">
      <alignment horizontal="center"/>
    </xf>
    <xf numFmtId="0" fontId="16" fillId="23" borderId="3" xfId="0" applyFont="1" applyFill="1" applyBorder="1" applyAlignment="1">
      <alignment horizontal="center"/>
    </xf>
    <xf numFmtId="0" fontId="0" fillId="23" borderId="0" xfId="0" applyFill="1" applyAlignment="1">
      <alignment horizontal="center"/>
    </xf>
    <xf numFmtId="2" fontId="0" fillId="23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6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6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165" fontId="0" fillId="6" borderId="0" xfId="0" applyNumberFormat="1" applyFill="1" applyAlignment="1">
      <alignment horizontal="center"/>
    </xf>
    <xf numFmtId="166" fontId="0" fillId="6" borderId="0" xfId="0" applyNumberFormat="1" applyFill="1" applyAlignment="1">
      <alignment horizontal="center"/>
    </xf>
    <xf numFmtId="166" fontId="7" fillId="17" borderId="0" xfId="0" applyNumberFormat="1" applyFont="1" applyFill="1" applyBorder="1" applyAlignment="1">
      <alignment horizontal="right"/>
    </xf>
    <xf numFmtId="2" fontId="0" fillId="24" borderId="2" xfId="0" applyNumberFormat="1" applyFill="1" applyBorder="1"/>
    <xf numFmtId="0" fontId="5" fillId="2" borderId="0" xfId="0" applyFont="1" applyFill="1" applyBorder="1"/>
    <xf numFmtId="0" fontId="16" fillId="11" borderId="0" xfId="0" applyFont="1" applyFill="1" applyAlignment="1">
      <alignment horizontal="center"/>
    </xf>
    <xf numFmtId="0" fontId="5" fillId="11" borderId="0" xfId="0" applyFont="1" applyFill="1"/>
    <xf numFmtId="0" fontId="0" fillId="11" borderId="0" xfId="0" applyFill="1" applyAlignment="1">
      <alignment horizontal="center"/>
    </xf>
    <xf numFmtId="0" fontId="16" fillId="11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center"/>
    </xf>
    <xf numFmtId="0" fontId="0" fillId="25" borderId="3" xfId="0" applyFill="1" applyBorder="1" applyAlignment="1">
      <alignment horizontal="center"/>
    </xf>
    <xf numFmtId="2" fontId="0" fillId="25" borderId="3" xfId="0" applyNumberFormat="1" applyFill="1" applyBorder="1" applyAlignment="1">
      <alignment horizontal="center"/>
    </xf>
    <xf numFmtId="1" fontId="0" fillId="25" borderId="3" xfId="0" applyNumberFormat="1" applyFill="1" applyBorder="1" applyAlignment="1">
      <alignment horizontal="center"/>
    </xf>
    <xf numFmtId="2" fontId="0" fillId="25" borderId="3" xfId="0" applyNumberFormat="1" applyFont="1" applyFill="1" applyBorder="1" applyAlignment="1">
      <alignment horizontal="center"/>
    </xf>
    <xf numFmtId="2" fontId="9" fillId="25" borderId="3" xfId="0" applyNumberFormat="1" applyFont="1" applyFill="1" applyBorder="1" applyAlignment="1">
      <alignment horizontal="center" vertical="center"/>
    </xf>
    <xf numFmtId="0" fontId="0" fillId="14" borderId="3" xfId="0" applyFill="1" applyBorder="1" applyAlignment="1">
      <alignment horizontal="center"/>
    </xf>
    <xf numFmtId="0" fontId="0" fillId="14" borderId="3" xfId="0" applyFont="1" applyFill="1" applyBorder="1" applyAlignment="1">
      <alignment horizontal="center"/>
    </xf>
    <xf numFmtId="0" fontId="0" fillId="18" borderId="3" xfId="0" applyFill="1" applyBorder="1" applyAlignment="1">
      <alignment horizontal="center"/>
    </xf>
    <xf numFmtId="2" fontId="0" fillId="18" borderId="3" xfId="0" applyNumberFormat="1" applyFill="1" applyBorder="1" applyAlignment="1">
      <alignment horizontal="center"/>
    </xf>
    <xf numFmtId="0" fontId="0" fillId="18" borderId="3" xfId="0" applyFont="1" applyFill="1" applyBorder="1" applyAlignment="1">
      <alignment horizontal="center"/>
    </xf>
    <xf numFmtId="2" fontId="9" fillId="18" borderId="3" xfId="0" applyNumberFormat="1" applyFont="1" applyFill="1" applyBorder="1" applyAlignment="1">
      <alignment horizontal="center" vertical="center"/>
    </xf>
    <xf numFmtId="165" fontId="0" fillId="18" borderId="3" xfId="0" applyNumberFormat="1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2" fontId="0" fillId="13" borderId="3" xfId="0" applyNumberFormat="1" applyFill="1" applyBorder="1" applyAlignment="1">
      <alignment horizontal="center"/>
    </xf>
    <xf numFmtId="165" fontId="0" fillId="13" borderId="3" xfId="0" applyNumberFormat="1" applyFill="1" applyBorder="1" applyAlignment="1">
      <alignment horizontal="center"/>
    </xf>
    <xf numFmtId="0" fontId="18" fillId="26" borderId="3" xfId="0" applyFont="1" applyFill="1" applyBorder="1" applyAlignment="1">
      <alignment horizontal="center"/>
    </xf>
    <xf numFmtId="0" fontId="18" fillId="0" borderId="0" xfId="0" applyFont="1" applyAlignment="1">
      <alignment wrapText="1" readingOrder="1"/>
    </xf>
    <xf numFmtId="0" fontId="0" fillId="12" borderId="3" xfId="0" applyFill="1" applyBorder="1" applyAlignment="1">
      <alignment horizontal="center" wrapText="1" readingOrder="1"/>
    </xf>
    <xf numFmtId="0" fontId="0" fillId="20" borderId="3" xfId="0" applyFill="1" applyBorder="1" applyAlignment="1">
      <alignment horizontal="center" wrapText="1" readingOrder="1"/>
    </xf>
    <xf numFmtId="0" fontId="18" fillId="8" borderId="3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2" fontId="0" fillId="7" borderId="3" xfId="0" applyNumberFormat="1" applyFont="1" applyFill="1" applyBorder="1" applyAlignment="1">
      <alignment horizontal="center"/>
    </xf>
    <xf numFmtId="2" fontId="9" fillId="7" borderId="3" xfId="0" applyNumberFormat="1" applyFont="1" applyFill="1" applyBorder="1" applyAlignment="1">
      <alignment horizontal="center" vertical="center"/>
    </xf>
    <xf numFmtId="2" fontId="0" fillId="7" borderId="3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6" fontId="0" fillId="2" borderId="3" xfId="0" applyNumberFormat="1" applyFont="1" applyFill="1" applyBorder="1" applyAlignment="1">
      <alignment horizontal="center"/>
    </xf>
    <xf numFmtId="166" fontId="0" fillId="2" borderId="3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166" fontId="0" fillId="13" borderId="3" xfId="0" applyNumberFormat="1" applyFont="1" applyFill="1" applyBorder="1" applyAlignment="1">
      <alignment horizontal="center"/>
    </xf>
    <xf numFmtId="166" fontId="0" fillId="13" borderId="3" xfId="0" applyNumberFormat="1" applyFill="1" applyBorder="1" applyAlignment="1">
      <alignment horizontal="center"/>
    </xf>
    <xf numFmtId="0" fontId="0" fillId="17" borderId="3" xfId="0" applyFill="1" applyBorder="1" applyAlignment="1">
      <alignment horizontal="center"/>
    </xf>
    <xf numFmtId="164" fontId="0" fillId="17" borderId="3" xfId="0" applyNumberFormat="1" applyFill="1" applyBorder="1" applyAlignment="1">
      <alignment horizontal="center"/>
    </xf>
    <xf numFmtId="165" fontId="0" fillId="17" borderId="3" xfId="0" applyNumberFormat="1" applyFill="1" applyBorder="1" applyAlignment="1">
      <alignment horizontal="center"/>
    </xf>
    <xf numFmtId="166" fontId="0" fillId="17" borderId="3" xfId="0" applyNumberFormat="1" applyFont="1" applyFill="1" applyBorder="1" applyAlignment="1">
      <alignment horizontal="center"/>
    </xf>
    <xf numFmtId="166" fontId="0" fillId="17" borderId="3" xfId="0" applyNumberFormat="1" applyFill="1" applyBorder="1" applyAlignment="1">
      <alignment horizontal="center"/>
    </xf>
    <xf numFmtId="2" fontId="0" fillId="17" borderId="3" xfId="0" applyNumberFormat="1" applyFill="1" applyBorder="1" applyAlignment="1">
      <alignment horizontal="center"/>
    </xf>
    <xf numFmtId="0" fontId="0" fillId="27" borderId="3" xfId="0" applyFill="1" applyBorder="1" applyAlignment="1">
      <alignment horizontal="center"/>
    </xf>
    <xf numFmtId="164" fontId="0" fillId="27" borderId="3" xfId="0" applyNumberFormat="1" applyFill="1" applyBorder="1" applyAlignment="1">
      <alignment horizontal="center"/>
    </xf>
    <xf numFmtId="0" fontId="0" fillId="27" borderId="3" xfId="0" applyFont="1" applyFill="1" applyBorder="1" applyAlignment="1">
      <alignment horizontal="center"/>
    </xf>
    <xf numFmtId="2" fontId="0" fillId="27" borderId="3" xfId="0" applyNumberFormat="1" applyFill="1" applyBorder="1" applyAlignment="1">
      <alignment horizontal="center"/>
    </xf>
    <xf numFmtId="165" fontId="0" fillId="27" borderId="3" xfId="0" applyNumberFormat="1" applyFill="1" applyBorder="1" applyAlignment="1">
      <alignment horizontal="center"/>
    </xf>
    <xf numFmtId="0" fontId="0" fillId="8" borderId="3" xfId="0" applyFill="1" applyBorder="1" applyAlignment="1">
      <alignment horizontal="center" wrapText="1" readingOrder="1"/>
    </xf>
    <xf numFmtId="0" fontId="18" fillId="8" borderId="3" xfId="0" applyFont="1" applyFill="1" applyBorder="1" applyAlignment="1">
      <alignment horizontal="center" wrapText="1" readingOrder="1"/>
    </xf>
    <xf numFmtId="0" fontId="0" fillId="0" borderId="3" xfId="0" applyBorder="1" applyAlignment="1">
      <alignment horizontal="center" wrapText="1" readingOrder="1"/>
    </xf>
    <xf numFmtId="0" fontId="18" fillId="0" borderId="3" xfId="0" applyFont="1" applyBorder="1" applyAlignment="1">
      <alignment horizontal="center" wrapText="1" readingOrder="1"/>
    </xf>
    <xf numFmtId="164" fontId="0" fillId="25" borderId="3" xfId="0" applyNumberFormat="1" applyFill="1" applyBorder="1" applyAlignment="1">
      <alignment horizontal="center" wrapText="1" readingOrder="1"/>
    </xf>
    <xf numFmtId="0" fontId="18" fillId="0" borderId="3" xfId="0" applyFont="1" applyFill="1" applyBorder="1" applyAlignment="1">
      <alignment horizontal="center" wrapText="1" readingOrder="1"/>
    </xf>
    <xf numFmtId="0" fontId="0" fillId="0" borderId="0" xfId="0" applyFill="1"/>
    <xf numFmtId="0" fontId="0" fillId="0" borderId="3" xfId="0" applyFill="1" applyBorder="1" applyAlignment="1">
      <alignment horizontal="center" wrapText="1" readingOrder="1"/>
    </xf>
    <xf numFmtId="0" fontId="0" fillId="0" borderId="3" xfId="0" applyFill="1" applyBorder="1"/>
    <xf numFmtId="164" fontId="0" fillId="0" borderId="3" xfId="0" applyNumberFormat="1" applyFill="1" applyBorder="1" applyAlignment="1">
      <alignment horizontal="center" wrapText="1" readingOrder="1"/>
    </xf>
    <xf numFmtId="164" fontId="0" fillId="0" borderId="3" xfId="0" applyNumberFormat="1" applyFill="1" applyBorder="1"/>
    <xf numFmtId="2" fontId="5" fillId="13" borderId="3" xfId="0" applyNumberFormat="1" applyFont="1" applyFill="1" applyBorder="1" applyAlignment="1">
      <alignment horizontal="center" vertical="center"/>
    </xf>
    <xf numFmtId="0" fontId="5" fillId="18" borderId="0" xfId="0" applyFont="1" applyFill="1" applyBorder="1" applyAlignment="1">
      <alignment horizontal="center"/>
    </xf>
    <xf numFmtId="0" fontId="5" fillId="18" borderId="0" xfId="0" applyFont="1" applyFill="1" applyBorder="1" applyAlignment="1">
      <alignment horizontal="center" readingOrder="1"/>
    </xf>
    <xf numFmtId="164" fontId="6" fillId="18" borderId="0" xfId="1" applyNumberFormat="1" applyFont="1" applyFill="1" applyBorder="1" applyAlignment="1">
      <alignment horizontal="center" vertical="center" wrapText="1"/>
    </xf>
    <xf numFmtId="166" fontId="12" fillId="18" borderId="0" xfId="0" applyNumberFormat="1" applyFont="1" applyFill="1" applyBorder="1" applyAlignment="1">
      <alignment horizontal="center"/>
    </xf>
    <xf numFmtId="0" fontId="5" fillId="18" borderId="0" xfId="0" applyFont="1" applyFill="1" applyBorder="1" applyAlignment="1">
      <alignment horizontal="center" vertical="center"/>
    </xf>
    <xf numFmtId="1" fontId="0" fillId="5" borderId="0" xfId="0" applyNumberFormat="1" applyFill="1"/>
    <xf numFmtId="164" fontId="0" fillId="4" borderId="0" xfId="0" applyNumberFormat="1" applyFill="1"/>
    <xf numFmtId="0" fontId="5" fillId="28" borderId="3" xfId="0" applyFon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6" fontId="5" fillId="2" borderId="0" xfId="0" applyNumberFormat="1" applyFont="1" applyFill="1" applyAlignment="1">
      <alignment horizontal="center" readingOrder="1"/>
    </xf>
    <xf numFmtId="164" fontId="23" fillId="30" borderId="0" xfId="0" applyNumberFormat="1" applyFont="1" applyFill="1" applyAlignment="1">
      <alignment horizontal="center" vertical="center"/>
    </xf>
    <xf numFmtId="0" fontId="24" fillId="30" borderId="7" xfId="0" applyFont="1" applyFill="1" applyBorder="1" applyAlignment="1">
      <alignment horizontal="center" vertical="center" wrapText="1"/>
    </xf>
    <xf numFmtId="2" fontId="23" fillId="30" borderId="0" xfId="0" applyNumberFormat="1" applyFont="1" applyFill="1" applyAlignment="1">
      <alignment horizontal="center" vertical="center"/>
    </xf>
    <xf numFmtId="0" fontId="23" fillId="30" borderId="0" xfId="0" applyFont="1" applyFill="1" applyAlignment="1">
      <alignment horizontal="center" vertical="center"/>
    </xf>
    <xf numFmtId="166" fontId="23" fillId="31" borderId="0" xfId="0" applyNumberFormat="1" applyFont="1" applyFill="1" applyAlignment="1">
      <alignment horizontal="center" vertical="center"/>
    </xf>
    <xf numFmtId="2" fontId="26" fillId="0" borderId="0" xfId="0" applyNumberFormat="1" applyFont="1" applyAlignment="1">
      <alignment horizontal="center" vertical="center"/>
    </xf>
    <xf numFmtId="168" fontId="23" fillId="0" borderId="0" xfId="0" applyNumberFormat="1" applyFont="1" applyAlignment="1">
      <alignment horizontal="center" vertical="center"/>
    </xf>
    <xf numFmtId="165" fontId="23" fillId="10" borderId="0" xfId="0" applyNumberFormat="1" applyFont="1" applyFill="1" applyAlignment="1">
      <alignment horizontal="center" vertical="center"/>
    </xf>
    <xf numFmtId="164" fontId="23" fillId="30" borderId="0" xfId="0" applyNumberFormat="1" applyFont="1" applyFill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0" fontId="24" fillId="30" borderId="8" xfId="0" applyFont="1" applyFill="1" applyBorder="1" applyAlignment="1">
      <alignment horizontal="center" vertical="center" wrapText="1"/>
    </xf>
    <xf numFmtId="0" fontId="23" fillId="30" borderId="9" xfId="0" applyFont="1" applyFill="1" applyBorder="1" applyAlignment="1">
      <alignment horizontal="center" wrapText="1"/>
    </xf>
    <xf numFmtId="0" fontId="25" fillId="0" borderId="0" xfId="0" applyFont="1" applyFill="1" applyAlignment="1">
      <alignment horizontal="center" vertical="center"/>
    </xf>
    <xf numFmtId="166" fontId="5" fillId="18" borderId="3" xfId="0" applyNumberFormat="1" applyFont="1" applyFill="1" applyBorder="1" applyAlignment="1">
      <alignment horizontal="center"/>
    </xf>
    <xf numFmtId="0" fontId="5" fillId="18" borderId="10" xfId="0" applyFont="1" applyFill="1" applyBorder="1" applyAlignment="1">
      <alignment horizontal="center"/>
    </xf>
    <xf numFmtId="166" fontId="0" fillId="28" borderId="0" xfId="0" applyNumberFormat="1" applyFill="1" applyAlignment="1">
      <alignment horizontal="center" vertical="center"/>
    </xf>
    <xf numFmtId="166" fontId="0" fillId="28" borderId="0" xfId="0" applyNumberFormat="1" applyFill="1" applyAlignment="1">
      <alignment horizontal="center"/>
    </xf>
    <xf numFmtId="0" fontId="0" fillId="28" borderId="0" xfId="0" applyFill="1" applyAlignment="1">
      <alignment horizontal="center" vertical="center"/>
    </xf>
    <xf numFmtId="0" fontId="29" fillId="5" borderId="0" xfId="0" applyFont="1" applyFill="1" applyAlignment="1">
      <alignment horizontal="center" vertical="center" wrapText="1" readingOrder="1"/>
    </xf>
    <xf numFmtId="164" fontId="0" fillId="5" borderId="0" xfId="0" applyNumberFormat="1" applyFill="1" applyAlignment="1">
      <alignment horizontal="center" vertical="center"/>
    </xf>
    <xf numFmtId="164" fontId="0" fillId="32" borderId="0" xfId="0" applyNumberFormat="1" applyFill="1" applyAlignment="1">
      <alignment horizontal="center" vertical="center"/>
    </xf>
    <xf numFmtId="166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/>
    </xf>
  </cellXfs>
  <cellStyles count="7">
    <cellStyle name="Heading 1" xfId="1" builtinId="16"/>
    <cellStyle name="Heading 1 2" xfId="5" xr:uid="{00000000-0005-0000-0000-000001000000}"/>
    <cellStyle name="Neutral 2" xfId="6" xr:uid="{00000000-0005-0000-0000-000002000000}"/>
    <cellStyle name="Normal" xfId="0" builtinId="0"/>
    <cellStyle name="Normal 2" xfId="3" xr:uid="{00000000-0005-0000-0000-000004000000}"/>
    <cellStyle name="Normal 3" xfId="4" xr:uid="{00000000-0005-0000-0000-000005000000}"/>
    <cellStyle name="Normal 4" xfId="2" xr:uid="{00000000-0005-0000-0000-000006000000}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3300"/>
      <color rgb="FFDF860F"/>
      <color rgb="FF3D9226"/>
      <color rgb="FFDC59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4116708529713357"/>
                  <c:y val="-0.2512793044881740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'داده های شاخص ها برای ایران'!$Z$1:$AE$1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'داده های شاخص ها برای ایران'!$Z$2:$AE$2</c:f>
              <c:numCache>
                <c:formatCode>0.0</c:formatCode>
                <c:ptCount val="6"/>
                <c:pt idx="0">
                  <c:v>64.489997863769531</c:v>
                </c:pt>
                <c:pt idx="1">
                  <c:v>65.160003662109375</c:v>
                </c:pt>
                <c:pt idx="2">
                  <c:v>65.75</c:v>
                </c:pt>
                <c:pt idx="3">
                  <c:v>66.989997863769531</c:v>
                </c:pt>
                <c:pt idx="4">
                  <c:v>66.849998474121094</c:v>
                </c:pt>
                <c:pt idx="5">
                  <c:v>67.800003051757813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6E-4606-96C6-EB6EC5701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853568"/>
        <c:axId val="142982464"/>
      </c:lineChart>
      <c:catAx>
        <c:axId val="14385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982464"/>
        <c:crosses val="autoZero"/>
        <c:auto val="1"/>
        <c:lblAlgn val="ctr"/>
        <c:lblOffset val="100"/>
        <c:noMultiLvlLbl val="0"/>
      </c:catAx>
      <c:valAx>
        <c:axId val="14298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853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7.3895838520809748E-2"/>
                  <c:y val="-6.771158286253850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val>
            <c:numRef>
              <c:f>'داده های شاخص ها برای ایران'!$B$13:$AA$13</c:f>
              <c:numCache>
                <c:formatCode>General</c:formatCode>
                <c:ptCount val="26"/>
                <c:pt idx="0">
                  <c:v>5.0794982117462597</c:v>
                </c:pt>
                <c:pt idx="1">
                  <c:v>4.9957070217734998</c:v>
                </c:pt>
                <c:pt idx="2">
                  <c:v>5.0908653697951101</c:v>
                </c:pt>
                <c:pt idx="3">
                  <c:v>5.56304638740085</c:v>
                </c:pt>
                <c:pt idx="4">
                  <c:v>6.2827256134293696</c:v>
                </c:pt>
                <c:pt idx="5">
                  <c:v>6.4213626570939102</c:v>
                </c:pt>
                <c:pt idx="6">
                  <c:v>5.8240580831767703</c:v>
                </c:pt>
                <c:pt idx="7">
                  <c:v>6.4310929967570898</c:v>
                </c:pt>
                <c:pt idx="8">
                  <c:v>6.4159572987073101</c:v>
                </c:pt>
                <c:pt idx="9">
                  <c:v>7.1353135622330202</c:v>
                </c:pt>
                <c:pt idx="10">
                  <c:v>6.5704109184370498</c:v>
                </c:pt>
                <c:pt idx="11">
                  <c:v>6.9620374431893604</c:v>
                </c:pt>
                <c:pt idx="12">
                  <c:v>6.6627085936205797</c:v>
                </c:pt>
                <c:pt idx="13">
                  <c:v>6.3378233300360796</c:v>
                </c:pt>
                <c:pt idx="14">
                  <c:v>6.6244188802770099</c:v>
                </c:pt>
                <c:pt idx="15">
                  <c:v>7.05480557026016</c:v>
                </c:pt>
                <c:pt idx="16">
                  <c:v>6.9753764462579202</c:v>
                </c:pt>
                <c:pt idx="17">
                  <c:v>6.7637393317000196</c:v>
                </c:pt>
                <c:pt idx="18">
                  <c:v>7.1820034580292198</c:v>
                </c:pt>
                <c:pt idx="19">
                  <c:v>7.0060627247902403</c:v>
                </c:pt>
                <c:pt idx="20">
                  <c:v>6.5754724393400803</c:v>
                </c:pt>
                <c:pt idx="21">
                  <c:v>6.4629031224006699</c:v>
                </c:pt>
                <c:pt idx="22">
                  <c:v>7.2004469455989302</c:v>
                </c:pt>
                <c:pt idx="23">
                  <c:v>7.4835471739595203</c:v>
                </c:pt>
                <c:pt idx="24">
                  <c:v>7.6976692943134202</c:v>
                </c:pt>
                <c:pt idx="25">
                  <c:v>7.7941162986058101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C5-4C7E-BEC6-5DC3B6952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221696"/>
        <c:axId val="144045120"/>
      </c:lineChart>
      <c:catAx>
        <c:axId val="1442216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045120"/>
        <c:crosses val="autoZero"/>
        <c:auto val="1"/>
        <c:lblAlgn val="ctr"/>
        <c:lblOffset val="100"/>
        <c:noMultiLvlLbl val="0"/>
      </c:catAx>
      <c:valAx>
        <c:axId val="14404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221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val>
            <c:numRef>
              <c:f>'داده های شاخص ها برای ایران'!$S$15:$AF$15</c:f>
              <c:numCache>
                <c:formatCode>0.0</c:formatCode>
                <c:ptCount val="14"/>
                <c:pt idx="0">
                  <c:v>82.8</c:v>
                </c:pt>
                <c:pt idx="1">
                  <c:v>85.7</c:v>
                </c:pt>
                <c:pt idx="2">
                  <c:v>90</c:v>
                </c:pt>
                <c:pt idx="3">
                  <c:v>92.2</c:v>
                </c:pt>
                <c:pt idx="4">
                  <c:v>90.2</c:v>
                </c:pt>
                <c:pt idx="5">
                  <c:v>89.6</c:v>
                </c:pt>
                <c:pt idx="6">
                  <c:v>89.7</c:v>
                </c:pt>
                <c:pt idx="7">
                  <c:v>87.2</c:v>
                </c:pt>
                <c:pt idx="8">
                  <c:v>87.1</c:v>
                </c:pt>
                <c:pt idx="9">
                  <c:v>86.9</c:v>
                </c:pt>
                <c:pt idx="10">
                  <c:v>85.8</c:v>
                </c:pt>
                <c:pt idx="11">
                  <c:v>84.271115167419168</c:v>
                </c:pt>
                <c:pt idx="12">
                  <c:v>83</c:v>
                </c:pt>
                <c:pt idx="13">
                  <c:v>83.386608652067594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9-4387-B2EA-791E8D12F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222720"/>
        <c:axId val="144046848"/>
      </c:lineChart>
      <c:catAx>
        <c:axId val="1442227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046848"/>
        <c:crosses val="autoZero"/>
        <c:auto val="1"/>
        <c:lblAlgn val="ctr"/>
        <c:lblOffset val="100"/>
        <c:noMultiLvlLbl val="0"/>
      </c:catAx>
      <c:valAx>
        <c:axId val="14404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222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val>
            <c:numRef>
              <c:f>'داده های شاخص ها برای ایران'!$AA$17:$AE$17</c:f>
              <c:numCache>
                <c:formatCode>0.00</c:formatCode>
                <c:ptCount val="5"/>
                <c:pt idx="0">
                  <c:v>52.056990509348822</c:v>
                </c:pt>
                <c:pt idx="1">
                  <c:v>52.509647184138437</c:v>
                </c:pt>
                <c:pt idx="2">
                  <c:v>54.411857110184698</c:v>
                </c:pt>
                <c:pt idx="3">
                  <c:v>54.852980377041099</c:v>
                </c:pt>
                <c:pt idx="4">
                  <c:v>52.965924687079784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49-4EA4-907F-7F566049B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223744"/>
        <c:axId val="144507456"/>
      </c:lineChart>
      <c:catAx>
        <c:axId val="1442237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507456"/>
        <c:crosses val="autoZero"/>
        <c:auto val="1"/>
        <c:lblAlgn val="ctr"/>
        <c:lblOffset val="100"/>
        <c:noMultiLvlLbl val="0"/>
      </c:catAx>
      <c:valAx>
        <c:axId val="14450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223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val>
            <c:numRef>
              <c:f>'داده های شاخص ها برای ایران'!$L$18:$AF$18</c:f>
              <c:numCache>
                <c:formatCode>0.0</c:formatCode>
                <c:ptCount val="21"/>
                <c:pt idx="10">
                  <c:v>38.9</c:v>
                </c:pt>
                <c:pt idx="11">
                  <c:v>39.809999999999995</c:v>
                </c:pt>
                <c:pt idx="12">
                  <c:v>40.719999999999992</c:v>
                </c:pt>
                <c:pt idx="13">
                  <c:v>41.629999999999988</c:v>
                </c:pt>
                <c:pt idx="14">
                  <c:v>42.539999999999985</c:v>
                </c:pt>
                <c:pt idx="15">
                  <c:v>43.449999999999982</c:v>
                </c:pt>
                <c:pt idx="16">
                  <c:v>44.359999999999978</c:v>
                </c:pt>
                <c:pt idx="17">
                  <c:v>45.269999999999975</c:v>
                </c:pt>
                <c:pt idx="18">
                  <c:v>46.179999999999971</c:v>
                </c:pt>
                <c:pt idx="19">
                  <c:v>47.089999999999968</c:v>
                </c:pt>
                <c:pt idx="20">
                  <c:v>47.999999999999964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C4-48CA-A598-42BDF92C2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577024"/>
        <c:axId val="144509184"/>
      </c:lineChart>
      <c:catAx>
        <c:axId val="1445770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509184"/>
        <c:crosses val="autoZero"/>
        <c:auto val="1"/>
        <c:lblAlgn val="ctr"/>
        <c:lblOffset val="100"/>
        <c:noMultiLvlLbl val="0"/>
      </c:catAx>
      <c:valAx>
        <c:axId val="14450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57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0C5-46EC-80A1-905C257C73CF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0C5-46EC-80A1-905C257C73CF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EDB-4972-9F36-AC0DF3229D98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0C5-46EC-80A1-905C257C73CF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EDB-4972-9F36-AC0DF3229D98}"/>
              </c:ext>
            </c:extLst>
          </c:dPt>
          <c:dPt>
            <c:idx val="1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EEDB-4972-9F36-AC0DF3229D98}"/>
              </c:ext>
            </c:extLst>
          </c:dPt>
          <c:cat>
            <c:strRef>
              <c:f>'نرخ رشد ایران'!$A$2:$A$14</c:f>
              <c:strCache>
                <c:ptCount val="13"/>
                <c:pt idx="0">
                  <c:v>رقابت پذیری </c:v>
                </c:pt>
                <c:pt idx="1">
                  <c:v>سهولت کسب و کار</c:v>
                </c:pt>
                <c:pt idx="2">
                  <c:v>نوآوری</c:v>
                </c:pt>
                <c:pt idx="3">
                  <c:v>حقوق مالکیت</c:v>
                </c:pt>
                <c:pt idx="4">
                  <c:v>صلح </c:v>
                </c:pt>
                <c:pt idx="5">
                  <c:v>حکمرانی</c:v>
                </c:pt>
                <c:pt idx="6">
                  <c:v>دولت غیر شکننده</c:v>
                </c:pt>
                <c:pt idx="7">
                  <c:v>پیشرفت اجتماعی</c:v>
                </c:pt>
                <c:pt idx="8">
                  <c:v>توسعه انسانی</c:v>
                </c:pt>
                <c:pt idx="9">
                  <c:v>شادی</c:v>
                </c:pt>
                <c:pt idx="10">
                  <c:v>کامیابی</c:v>
                </c:pt>
                <c:pt idx="11">
                  <c:v>بهره وری انرژی</c:v>
                </c:pt>
                <c:pt idx="12">
                  <c:v>محیط زیست</c:v>
                </c:pt>
              </c:strCache>
            </c:strRef>
          </c:cat>
          <c:val>
            <c:numRef>
              <c:f>'نرخ رشد ایران'!$B$2:$B$14</c:f>
              <c:numCache>
                <c:formatCode>General</c:formatCode>
                <c:ptCount val="13"/>
                <c:pt idx="0">
                  <c:v>-0.447882590086357</c:v>
                </c:pt>
                <c:pt idx="1">
                  <c:v>0.42480977774723705</c:v>
                </c:pt>
                <c:pt idx="2">
                  <c:v>4.0234213268597774</c:v>
                </c:pt>
                <c:pt idx="3">
                  <c:v>0.96212894350538036</c:v>
                </c:pt>
                <c:pt idx="4">
                  <c:v>-1.1708202005034529</c:v>
                </c:pt>
                <c:pt idx="5">
                  <c:v>-0.57923121058583993</c:v>
                </c:pt>
                <c:pt idx="6">
                  <c:v>-0.11346917476122709</c:v>
                </c:pt>
                <c:pt idx="7">
                  <c:v>0.93002373572168562</c:v>
                </c:pt>
                <c:pt idx="8">
                  <c:v>1.1200621517843956</c:v>
                </c:pt>
                <c:pt idx="9">
                  <c:v>-0.25808056238708632</c:v>
                </c:pt>
                <c:pt idx="10">
                  <c:v>0.30500637272110609</c:v>
                </c:pt>
                <c:pt idx="11">
                  <c:v>-0.73935893824124133</c:v>
                </c:pt>
                <c:pt idx="12">
                  <c:v>0.79797475090164216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DB-4972-9F36-AC0DF3229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2200416"/>
        <c:axId val="433056832"/>
      </c:barChart>
      <c:catAx>
        <c:axId val="36220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433056832"/>
        <c:crosses val="autoZero"/>
        <c:auto val="1"/>
        <c:lblAlgn val="ctr"/>
        <c:lblOffset val="100"/>
        <c:noMultiLvlLbl val="0"/>
      </c:catAx>
      <c:valAx>
        <c:axId val="43305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362200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'نرخ رشد ایران'!$D$1</c:f>
              <c:strCache>
                <c:ptCount val="1"/>
                <c:pt idx="0">
                  <c:v>اولین سال داده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'نرخ رشد ایران'!$C$2:$C$14</c:f>
              <c:strCache>
                <c:ptCount val="13"/>
                <c:pt idx="0">
                  <c:v>رقابت پذیری </c:v>
                </c:pt>
                <c:pt idx="1">
                  <c:v>سهولت کسب و کار</c:v>
                </c:pt>
                <c:pt idx="2">
                  <c:v>نوآوری</c:v>
                </c:pt>
                <c:pt idx="3">
                  <c:v>حقوق مالکیت</c:v>
                </c:pt>
                <c:pt idx="4">
                  <c:v>صلح </c:v>
                </c:pt>
                <c:pt idx="5">
                  <c:v>حکمرانی</c:v>
                </c:pt>
                <c:pt idx="6">
                  <c:v>دولت غیر شکننده</c:v>
                </c:pt>
                <c:pt idx="7">
                  <c:v>پیشرفت اجتماعی</c:v>
                </c:pt>
                <c:pt idx="8">
                  <c:v>توسعه انسانی</c:v>
                </c:pt>
                <c:pt idx="9">
                  <c:v>شادی</c:v>
                </c:pt>
                <c:pt idx="10">
                  <c:v>کامیابی</c:v>
                </c:pt>
                <c:pt idx="11">
                  <c:v>بهره وری انرژی</c:v>
                </c:pt>
                <c:pt idx="12">
                  <c:v>محیط زیست</c:v>
                </c:pt>
              </c:strCache>
            </c:strRef>
          </c:cat>
          <c:val>
            <c:numRef>
              <c:f>'نرخ رشد ایران'!$D$2:$D$14</c:f>
              <c:numCache>
                <c:formatCode>General</c:formatCode>
                <c:ptCount val="13"/>
                <c:pt idx="0">
                  <c:v>54.411857110184698</c:v>
                </c:pt>
                <c:pt idx="1">
                  <c:v>55.879220000000004</c:v>
                </c:pt>
                <c:pt idx="2">
                  <c:v>27.3</c:v>
                </c:pt>
                <c:pt idx="3">
                  <c:v>42</c:v>
                </c:pt>
                <c:pt idx="4">
                  <c:v>66.25</c:v>
                </c:pt>
                <c:pt idx="5">
                  <c:v>34.274136333333338</c:v>
                </c:pt>
                <c:pt idx="6">
                  <c:v>31</c:v>
                </c:pt>
                <c:pt idx="7">
                  <c:v>61.63</c:v>
                </c:pt>
                <c:pt idx="8">
                  <c:v>57.699999999999996</c:v>
                </c:pt>
                <c:pt idx="9">
                  <c:v>46.43</c:v>
                </c:pt>
                <c:pt idx="10">
                  <c:v>46.722445038300002</c:v>
                </c:pt>
                <c:pt idx="11">
                  <c:v>74.602508941268709</c:v>
                </c:pt>
                <c:pt idx="12">
                  <c:v>40.621252060000003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9-41EA-ABBA-44D8650B43C2}"/>
            </c:ext>
          </c:extLst>
        </c:ser>
        <c:ser>
          <c:idx val="1"/>
          <c:order val="1"/>
          <c:tx>
            <c:strRef>
              <c:f>'نرخ رشد ایران'!$E$1</c:f>
              <c:strCache>
                <c:ptCount val="1"/>
                <c:pt idx="0">
                  <c:v>آخرین سال داده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'نرخ رشد ایران'!$C$2:$C$14</c:f>
              <c:strCache>
                <c:ptCount val="13"/>
                <c:pt idx="0">
                  <c:v>رقابت پذیری </c:v>
                </c:pt>
                <c:pt idx="1">
                  <c:v>سهولت کسب و کار</c:v>
                </c:pt>
                <c:pt idx="2">
                  <c:v>نوآوری</c:v>
                </c:pt>
                <c:pt idx="3">
                  <c:v>حقوق مالکیت</c:v>
                </c:pt>
                <c:pt idx="4">
                  <c:v>صلح </c:v>
                </c:pt>
                <c:pt idx="5">
                  <c:v>حکمرانی</c:v>
                </c:pt>
                <c:pt idx="6">
                  <c:v>دولت غیر شکننده</c:v>
                </c:pt>
                <c:pt idx="7">
                  <c:v>پیشرفت اجتماعی</c:v>
                </c:pt>
                <c:pt idx="8">
                  <c:v>توسعه انسانی</c:v>
                </c:pt>
                <c:pt idx="9">
                  <c:v>شادی</c:v>
                </c:pt>
                <c:pt idx="10">
                  <c:v>کامیابی</c:v>
                </c:pt>
                <c:pt idx="11">
                  <c:v>بهره وری انرژی</c:v>
                </c:pt>
                <c:pt idx="12">
                  <c:v>محیط زیست</c:v>
                </c:pt>
              </c:strCache>
            </c:strRef>
          </c:cat>
          <c:val>
            <c:numRef>
              <c:f>'نرخ رشد ایران'!$E$2:$E$14</c:f>
              <c:numCache>
                <c:formatCode>General</c:formatCode>
                <c:ptCount val="13"/>
                <c:pt idx="0">
                  <c:v>52.965924687079784</c:v>
                </c:pt>
                <c:pt idx="1">
                  <c:v>58.546580000000006</c:v>
                </c:pt>
                <c:pt idx="2">
                  <c:v>34.4</c:v>
                </c:pt>
                <c:pt idx="3">
                  <c:v>45.78</c:v>
                </c:pt>
                <c:pt idx="4">
                  <c:v>58.199999999999996</c:v>
                </c:pt>
                <c:pt idx="5">
                  <c:v>29.987496666666669</c:v>
                </c:pt>
                <c:pt idx="6">
                  <c:v>30.511159456610343</c:v>
                </c:pt>
                <c:pt idx="7">
                  <c:v>65.150000000000006</c:v>
                </c:pt>
                <c:pt idx="8">
                  <c:v>79.7</c:v>
                </c:pt>
                <c:pt idx="9">
                  <c:v>46.72</c:v>
                </c:pt>
                <c:pt idx="10">
                  <c:v>48.314141859800003</c:v>
                </c:pt>
                <c:pt idx="11">
                  <c:v>61.511653528432895</c:v>
                </c:pt>
                <c:pt idx="1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9-41EA-ABBA-44D8650B4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673296"/>
        <c:axId val="643679120"/>
      </c:radarChart>
      <c:catAx>
        <c:axId val="64367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643679120"/>
        <c:crosses val="autoZero"/>
        <c:auto val="1"/>
        <c:lblAlgn val="ctr"/>
        <c:lblOffset val="100"/>
        <c:noMultiLvlLbl val="0"/>
      </c:catAx>
      <c:valAx>
        <c:axId val="6436791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643673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Nazanin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'نرخ رشد ایران'!$K$1</c:f>
              <c:strCache>
                <c:ptCount val="1"/>
                <c:pt idx="0">
                  <c:v>اولین سال داده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'نرخ رشد ایران'!$J$2:$J$14</c:f>
              <c:strCache>
                <c:ptCount val="13"/>
                <c:pt idx="0">
                  <c:v>رقابت پذیری (2015)</c:v>
                </c:pt>
                <c:pt idx="1">
                  <c:v>سهولت کسب و کار (2010)</c:v>
                </c:pt>
                <c:pt idx="2">
                  <c:v>نوآوری (2013)</c:v>
                </c:pt>
                <c:pt idx="3">
                  <c:v>حقوق مالکیت (2011)</c:v>
                </c:pt>
                <c:pt idx="4">
                  <c:v>صلح (2008)</c:v>
                </c:pt>
                <c:pt idx="5">
                  <c:v>حکمرانی (1996)</c:v>
                </c:pt>
                <c:pt idx="6">
                  <c:v>دولت غیر شکننده (2007)</c:v>
                </c:pt>
                <c:pt idx="7">
                  <c:v>پیشرفت اجتماعی (2014)</c:v>
                </c:pt>
                <c:pt idx="8">
                  <c:v>توسعه انسانی (1990)</c:v>
                </c:pt>
                <c:pt idx="9">
                  <c:v>شادی (2013)</c:v>
                </c:pt>
                <c:pt idx="10">
                  <c:v>کامیابی (2009)</c:v>
                </c:pt>
                <c:pt idx="11">
                  <c:v>بهره وری انرژی (1990)</c:v>
                </c:pt>
                <c:pt idx="12">
                  <c:v>محیط زیست (2000)</c:v>
                </c:pt>
              </c:strCache>
            </c:strRef>
          </c:cat>
          <c:val>
            <c:numRef>
              <c:f>'نرخ رشد ایران'!$K$2:$K$14</c:f>
              <c:numCache>
                <c:formatCode>General</c:formatCode>
                <c:ptCount val="13"/>
                <c:pt idx="0">
                  <c:v>38.888490143561924</c:v>
                </c:pt>
                <c:pt idx="1">
                  <c:v>24.421668347073126</c:v>
                </c:pt>
                <c:pt idx="2">
                  <c:v>29.157175398633257</c:v>
                </c:pt>
                <c:pt idx="3">
                  <c:v>25.967847769028872</c:v>
                </c:pt>
                <c:pt idx="4">
                  <c:v>50.155038759689923</c:v>
                </c:pt>
                <c:pt idx="5">
                  <c:v>33.849689315065106</c:v>
                </c:pt>
                <c:pt idx="6">
                  <c:v>30.301686345269808</c:v>
                </c:pt>
                <c:pt idx="7">
                  <c:v>55.916403548338593</c:v>
                </c:pt>
                <c:pt idx="8">
                  <c:v>34.727061268098538</c:v>
                </c:pt>
                <c:pt idx="9">
                  <c:v>33.290653008962863</c:v>
                </c:pt>
                <c:pt idx="10">
                  <c:v>27.106246661343903</c:v>
                </c:pt>
                <c:pt idx="11">
                  <c:v>72.359411914620594</c:v>
                </c:pt>
                <c:pt idx="12">
                  <c:v>26.139774356261025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AF-4E65-8669-382EC24D9D34}"/>
            </c:ext>
          </c:extLst>
        </c:ser>
        <c:ser>
          <c:idx val="1"/>
          <c:order val="1"/>
          <c:tx>
            <c:strRef>
              <c:f>'نرخ رشد ایران'!$L$1</c:f>
              <c:strCache>
                <c:ptCount val="1"/>
                <c:pt idx="0">
                  <c:v>آخرین سال داده (2020)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'نرخ رشد ایران'!$J$2:$J$14</c:f>
              <c:strCache>
                <c:ptCount val="13"/>
                <c:pt idx="0">
                  <c:v>رقابت پذیری (2015)</c:v>
                </c:pt>
                <c:pt idx="1">
                  <c:v>سهولت کسب و کار (2010)</c:v>
                </c:pt>
                <c:pt idx="2">
                  <c:v>نوآوری (2013)</c:v>
                </c:pt>
                <c:pt idx="3">
                  <c:v>حقوق مالکیت (2011)</c:v>
                </c:pt>
                <c:pt idx="4">
                  <c:v>صلح (2008)</c:v>
                </c:pt>
                <c:pt idx="5">
                  <c:v>حکمرانی (1996)</c:v>
                </c:pt>
                <c:pt idx="6">
                  <c:v>دولت غیر شکننده (2007)</c:v>
                </c:pt>
                <c:pt idx="7">
                  <c:v>پیشرفت اجتماعی (2014)</c:v>
                </c:pt>
                <c:pt idx="8">
                  <c:v>توسعه انسانی (1990)</c:v>
                </c:pt>
                <c:pt idx="9">
                  <c:v>شادی (2013)</c:v>
                </c:pt>
                <c:pt idx="10">
                  <c:v>کامیابی (2009)</c:v>
                </c:pt>
                <c:pt idx="11">
                  <c:v>بهره وری انرژی (1990)</c:v>
                </c:pt>
                <c:pt idx="12">
                  <c:v>محیط زیست (2000)</c:v>
                </c:pt>
              </c:strCache>
            </c:strRef>
          </c:cat>
          <c:val>
            <c:numRef>
              <c:f>'نرخ رشد ایران'!$L$2:$L$14</c:f>
              <c:numCache>
                <c:formatCode>General</c:formatCode>
                <c:ptCount val="13"/>
                <c:pt idx="0">
                  <c:v>35.979125246133087</c:v>
                </c:pt>
                <c:pt idx="1">
                  <c:v>31.013210960204024</c:v>
                </c:pt>
                <c:pt idx="2">
                  <c:v>45.33029612756264</c:v>
                </c:pt>
                <c:pt idx="3">
                  <c:v>32.168635170603679</c:v>
                </c:pt>
                <c:pt idx="4">
                  <c:v>37.674418604651159</c:v>
                </c:pt>
                <c:pt idx="5">
                  <c:v>28.390546164817412</c:v>
                </c:pt>
                <c:pt idx="6">
                  <c:v>29.701955753556575</c:v>
                </c:pt>
                <c:pt idx="7">
                  <c:v>61.208840775823191</c:v>
                </c:pt>
                <c:pt idx="8">
                  <c:v>72.848885372929573</c:v>
                </c:pt>
                <c:pt idx="9">
                  <c:v>33.909517712334612</c:v>
                </c:pt>
                <c:pt idx="10">
                  <c:v>30.222044163587569</c:v>
                </c:pt>
                <c:pt idx="11">
                  <c:v>56.870233774043456</c:v>
                </c:pt>
                <c:pt idx="12">
                  <c:v>39.153439153439152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AF-4E65-8669-382EC24D9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876959"/>
        <c:axId val="749884031"/>
      </c:radarChart>
      <c:catAx>
        <c:axId val="749876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749884031"/>
        <c:crosses val="autoZero"/>
        <c:auto val="1"/>
        <c:lblAlgn val="ctr"/>
        <c:lblOffset val="100"/>
        <c:noMultiLvlLbl val="0"/>
      </c:catAx>
      <c:valAx>
        <c:axId val="74988403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749876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Nazanin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'نرخ رشد ایران'!$B$63</c:f>
              <c:strCache>
                <c:ptCount val="1"/>
                <c:pt idx="0">
                  <c:v>1990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'نرخ رشد ایران'!$A$64:$A$76</c:f>
              <c:strCache>
                <c:ptCount val="13"/>
                <c:pt idx="0">
                  <c:v>رقابت پذیری </c:v>
                </c:pt>
                <c:pt idx="1">
                  <c:v>سهولت کسب و کار</c:v>
                </c:pt>
                <c:pt idx="2">
                  <c:v>نوآوری</c:v>
                </c:pt>
                <c:pt idx="3">
                  <c:v>حقوق مالکیت</c:v>
                </c:pt>
                <c:pt idx="4">
                  <c:v>صلح</c:v>
                </c:pt>
                <c:pt idx="5">
                  <c:v>حکمرانی</c:v>
                </c:pt>
                <c:pt idx="6">
                  <c:v>دولت غیر شکننده</c:v>
                </c:pt>
                <c:pt idx="7">
                  <c:v>پیشرفت اجتماعی</c:v>
                </c:pt>
                <c:pt idx="8">
                  <c:v>توسعه انسانی</c:v>
                </c:pt>
                <c:pt idx="9">
                  <c:v>شادی</c:v>
                </c:pt>
                <c:pt idx="10">
                  <c:v>کامیابی</c:v>
                </c:pt>
                <c:pt idx="11">
                  <c:v>بهره وری انرژی</c:v>
                </c:pt>
                <c:pt idx="12">
                  <c:v>محیط زیست</c:v>
                </c:pt>
              </c:strCache>
            </c:strRef>
          </c:cat>
          <c:val>
            <c:numRef>
              <c:f>'نرخ رشد ایران'!$B$64:$B$76</c:f>
              <c:numCache>
                <c:formatCode>General</c:formatCode>
                <c:ptCount val="13"/>
                <c:pt idx="0">
                  <c:v>61.073499999999996</c:v>
                </c:pt>
                <c:pt idx="1">
                  <c:v>52.636000000000003</c:v>
                </c:pt>
                <c:pt idx="2">
                  <c:v>0</c:v>
                </c:pt>
                <c:pt idx="3">
                  <c:v>28.052999999999997</c:v>
                </c:pt>
                <c:pt idx="4">
                  <c:v>71.084999999999994</c:v>
                </c:pt>
                <c:pt idx="5">
                  <c:v>35.962000000000003</c:v>
                </c:pt>
                <c:pt idx="6">
                  <c:v>21.005416666666662</c:v>
                </c:pt>
                <c:pt idx="7">
                  <c:v>46.229399999999998</c:v>
                </c:pt>
                <c:pt idx="8">
                  <c:v>58.41</c:v>
                </c:pt>
                <c:pt idx="9">
                  <c:v>47.828999999999994</c:v>
                </c:pt>
                <c:pt idx="10">
                  <c:v>40.844800000000006</c:v>
                </c:pt>
                <c:pt idx="11">
                  <c:v>72.775000000000006</c:v>
                </c:pt>
                <c:pt idx="12">
                  <c:v>26.968999999999998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B4-4AF9-A87F-210339604F31}"/>
            </c:ext>
          </c:extLst>
        </c:ser>
        <c:ser>
          <c:idx val="1"/>
          <c:order val="1"/>
          <c:tx>
            <c:strRef>
              <c:f>'نرخ رشد ایران'!$C$63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'نرخ رشد ایران'!$A$64:$A$76</c:f>
              <c:strCache>
                <c:ptCount val="13"/>
                <c:pt idx="0">
                  <c:v>رقابت پذیری </c:v>
                </c:pt>
                <c:pt idx="1">
                  <c:v>سهولت کسب و کار</c:v>
                </c:pt>
                <c:pt idx="2">
                  <c:v>نوآوری</c:v>
                </c:pt>
                <c:pt idx="3">
                  <c:v>حقوق مالکیت</c:v>
                </c:pt>
                <c:pt idx="4">
                  <c:v>صلح</c:v>
                </c:pt>
                <c:pt idx="5">
                  <c:v>حکمرانی</c:v>
                </c:pt>
                <c:pt idx="6">
                  <c:v>دولت غیر شکننده</c:v>
                </c:pt>
                <c:pt idx="7">
                  <c:v>پیشرفت اجتماعی</c:v>
                </c:pt>
                <c:pt idx="8">
                  <c:v>توسعه انسانی</c:v>
                </c:pt>
                <c:pt idx="9">
                  <c:v>شادی</c:v>
                </c:pt>
                <c:pt idx="10">
                  <c:v>کامیابی</c:v>
                </c:pt>
                <c:pt idx="11">
                  <c:v>بهره وری انرژی</c:v>
                </c:pt>
                <c:pt idx="12">
                  <c:v>محیط زیست</c:v>
                </c:pt>
              </c:strCache>
            </c:strRef>
          </c:cat>
          <c:val>
            <c:numRef>
              <c:f>'نرخ رشد ایران'!$C$64:$C$76</c:f>
              <c:numCache>
                <c:formatCode>General</c:formatCode>
                <c:ptCount val="13"/>
                <c:pt idx="0">
                  <c:v>53.720500000000001</c:v>
                </c:pt>
                <c:pt idx="1">
                  <c:v>57.31</c:v>
                </c:pt>
                <c:pt idx="2">
                  <c:v>34.557099999999998</c:v>
                </c:pt>
                <c:pt idx="3">
                  <c:v>45.752999999999993</c:v>
                </c:pt>
                <c:pt idx="4">
                  <c:v>61.859999999999992</c:v>
                </c:pt>
                <c:pt idx="5">
                  <c:v>28.281999999999996</c:v>
                </c:pt>
                <c:pt idx="6">
                  <c:v>28.967916666666667</c:v>
                </c:pt>
                <c:pt idx="7">
                  <c:v>64.871399999999994</c:v>
                </c:pt>
                <c:pt idx="8">
                  <c:v>82.41</c:v>
                </c:pt>
                <c:pt idx="9">
                  <c:v>46.658999999999999</c:v>
                </c:pt>
                <c:pt idx="10">
                  <c:v>48.428800000000003</c:v>
                </c:pt>
                <c:pt idx="11">
                  <c:v>68.655000000000001</c:v>
                </c:pt>
                <c:pt idx="12">
                  <c:v>55.94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B4-4AF9-A87F-210339604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1561776"/>
        <c:axId val="291569680"/>
      </c:radarChart>
      <c:catAx>
        <c:axId val="29156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569680"/>
        <c:crosses val="autoZero"/>
        <c:auto val="1"/>
        <c:lblAlgn val="ctr"/>
        <c:lblOffset val="100"/>
        <c:noMultiLvlLbl val="0"/>
      </c:catAx>
      <c:valAx>
        <c:axId val="2915696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56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>
                  <a:alpha val="7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528-4A12-8111-93E1248B8BCE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>
                  <a:alpha val="7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528-4A12-8111-93E1248B8BCE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>
                  <a:alpha val="7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528-4A12-8111-93E1248B8BCE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>
                  <a:alpha val="7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528-4A12-8111-93E1248B8BCE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>
                  <a:alpha val="7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528-4A12-8111-93E1248B8BC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B Nazanin" panose="00000400000000000000" pitchFamily="2" charset="-78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'نرخ رشد ایران'!$B$83:$N$83</c:f>
              <c:strCache>
                <c:ptCount val="13"/>
                <c:pt idx="0">
                  <c:v>شدت انرژی</c:v>
                </c:pt>
                <c:pt idx="1">
                  <c:v>حکمرانی </c:v>
                </c:pt>
                <c:pt idx="2">
                  <c:v>سهولت کسب و کار</c:v>
                </c:pt>
                <c:pt idx="3">
                  <c:v>نوآوری</c:v>
                </c:pt>
                <c:pt idx="4">
                  <c:v>کامیابی</c:v>
                </c:pt>
                <c:pt idx="5">
                  <c:v>محیط زیست</c:v>
                </c:pt>
                <c:pt idx="6">
                  <c:v>شادی</c:v>
                </c:pt>
                <c:pt idx="7">
                  <c:v>رقابت پذیری</c:v>
                </c:pt>
                <c:pt idx="8">
                  <c:v>دولت شکننده</c:v>
                </c:pt>
                <c:pt idx="9">
                  <c:v>توسعه انسانی</c:v>
                </c:pt>
                <c:pt idx="10">
                  <c:v>صلح</c:v>
                </c:pt>
                <c:pt idx="11">
                  <c:v>حقوق مالکیت</c:v>
                </c:pt>
                <c:pt idx="12">
                  <c:v>پیشرفت اجتماعی</c:v>
                </c:pt>
              </c:strCache>
            </c:strRef>
          </c:cat>
          <c:val>
            <c:numRef>
              <c:f>'نرخ رشد ایران'!$B$84:$N$84</c:f>
              <c:numCache>
                <c:formatCode>0.0</c:formatCode>
                <c:ptCount val="13"/>
                <c:pt idx="0">
                  <c:v>1.7273761258879805</c:v>
                </c:pt>
                <c:pt idx="1">
                  <c:v>-1.0012190489982364</c:v>
                </c:pt>
                <c:pt idx="2">
                  <c:v>1.3808124623820901</c:v>
                </c:pt>
                <c:pt idx="3">
                  <c:v>1.7853135709336332</c:v>
                </c:pt>
                <c:pt idx="4">
                  <c:v>2.6084625580040655E-2</c:v>
                </c:pt>
                <c:pt idx="5">
                  <c:v>2.1243166671905733</c:v>
                </c:pt>
                <c:pt idx="6">
                  <c:v>9.0214222454565451E-2</c:v>
                </c:pt>
                <c:pt idx="7">
                  <c:v>-1.3376387902956699</c:v>
                </c:pt>
                <c:pt idx="8">
                  <c:v>5.4319881446374119E-2</c:v>
                </c:pt>
                <c:pt idx="9">
                  <c:v>1.1315505753742627</c:v>
                </c:pt>
                <c:pt idx="10">
                  <c:v>1.1742216453798138</c:v>
                </c:pt>
                <c:pt idx="11">
                  <c:v>0.12896237219093276</c:v>
                </c:pt>
                <c:pt idx="12">
                  <c:v>0.79634958787939691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28-4A12-8111-93E1248B8BC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35165904"/>
        <c:axId val="135160912"/>
      </c:barChart>
      <c:catAx>
        <c:axId val="13516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35160912"/>
        <c:crosses val="autoZero"/>
        <c:auto val="1"/>
        <c:lblAlgn val="ctr"/>
        <c:lblOffset val="100"/>
        <c:noMultiLvlLbl val="0"/>
      </c:catAx>
      <c:valAx>
        <c:axId val="13516091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35165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1"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'وضعیت ایران'!$Q$2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'وضعیت ایران'!$R$1:$AD$1</c:f>
              <c:strCache>
                <c:ptCount val="13"/>
                <c:pt idx="0">
                  <c:v>رقابت پذیری </c:v>
                </c:pt>
                <c:pt idx="1">
                  <c:v>سهولت کسب و کار</c:v>
                </c:pt>
                <c:pt idx="2">
                  <c:v>نوآوری</c:v>
                </c:pt>
                <c:pt idx="3">
                  <c:v>حقوق مالکیت</c:v>
                </c:pt>
                <c:pt idx="4">
                  <c:v>صلح</c:v>
                </c:pt>
                <c:pt idx="5">
                  <c:v>حکمرانی</c:v>
                </c:pt>
                <c:pt idx="6">
                  <c:v>دولت شکننده</c:v>
                </c:pt>
                <c:pt idx="7">
                  <c:v>پیشرفت اجتماعی</c:v>
                </c:pt>
                <c:pt idx="8">
                  <c:v>توسعه انسانی</c:v>
                </c:pt>
                <c:pt idx="9">
                  <c:v>شادی</c:v>
                </c:pt>
                <c:pt idx="10">
                  <c:v>کامیابی</c:v>
                </c:pt>
                <c:pt idx="11">
                  <c:v>بهره وری انرژی</c:v>
                </c:pt>
                <c:pt idx="12">
                  <c:v>محیط زیست</c:v>
                </c:pt>
              </c:strCache>
            </c:strRef>
          </c:cat>
          <c:val>
            <c:numRef>
              <c:f>'وضعیت ایران'!$R$2:$AD$2</c:f>
              <c:numCache>
                <c:formatCode>General</c:formatCode>
                <c:ptCount val="13"/>
                <c:pt idx="0">
                  <c:v>33.522612046238081</c:v>
                </c:pt>
                <c:pt idx="1">
                  <c:v>48.439565972222233</c:v>
                </c:pt>
                <c:pt idx="2">
                  <c:v>30.849220103986134</c:v>
                </c:pt>
                <c:pt idx="3">
                  <c:v>24.350086655112648</c:v>
                </c:pt>
                <c:pt idx="4">
                  <c:v>44.351297405189626</c:v>
                </c:pt>
                <c:pt idx="5">
                  <c:v>30.041225135134461</c:v>
                </c:pt>
                <c:pt idx="6">
                  <c:v>28.305785123966952</c:v>
                </c:pt>
                <c:pt idx="7">
                  <c:v>57.62388818297331</c:v>
                </c:pt>
                <c:pt idx="8">
                  <c:v>69.913043478260889</c:v>
                </c:pt>
                <c:pt idx="9">
                  <c:v>38.900589721988204</c:v>
                </c:pt>
                <c:pt idx="10">
                  <c:v>32.529176824436085</c:v>
                </c:pt>
                <c:pt idx="11">
                  <c:v>27.603513174404021</c:v>
                </c:pt>
                <c:pt idx="12">
                  <c:v>41.351351351351319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4-4DFE-8538-7CA98EF0EBF0}"/>
            </c:ext>
          </c:extLst>
        </c:ser>
        <c:ser>
          <c:idx val="1"/>
          <c:order val="1"/>
          <c:tx>
            <c:strRef>
              <c:f>'وضعیت ایران'!$Q$3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'وضعیت ایران'!$R$1:$AD$1</c:f>
              <c:strCache>
                <c:ptCount val="13"/>
                <c:pt idx="0">
                  <c:v>رقابت پذیری </c:v>
                </c:pt>
                <c:pt idx="1">
                  <c:v>سهولت کسب و کار</c:v>
                </c:pt>
                <c:pt idx="2">
                  <c:v>نوآوری</c:v>
                </c:pt>
                <c:pt idx="3">
                  <c:v>حقوق مالکیت</c:v>
                </c:pt>
                <c:pt idx="4">
                  <c:v>صلح</c:v>
                </c:pt>
                <c:pt idx="5">
                  <c:v>حکمرانی</c:v>
                </c:pt>
                <c:pt idx="6">
                  <c:v>دولت شکننده</c:v>
                </c:pt>
                <c:pt idx="7">
                  <c:v>پیشرفت اجتماعی</c:v>
                </c:pt>
                <c:pt idx="8">
                  <c:v>توسعه انسانی</c:v>
                </c:pt>
                <c:pt idx="9">
                  <c:v>شادی</c:v>
                </c:pt>
                <c:pt idx="10">
                  <c:v>کامیابی</c:v>
                </c:pt>
                <c:pt idx="11">
                  <c:v>بهره وری انرژی</c:v>
                </c:pt>
                <c:pt idx="12">
                  <c:v>محیط زیست</c:v>
                </c:pt>
              </c:strCache>
            </c:strRef>
          </c:cat>
          <c:val>
            <c:numRef>
              <c:f>'وضعیت ایران'!$R$3:$AD$3</c:f>
              <c:numCache>
                <c:formatCode>General</c:formatCode>
                <c:ptCount val="13"/>
                <c:pt idx="0">
                  <c:v>35.987776030341621</c:v>
                </c:pt>
                <c:pt idx="1">
                  <c:v>57.634730538922156</c:v>
                </c:pt>
                <c:pt idx="2">
                  <c:v>32.952380952380949</c:v>
                </c:pt>
                <c:pt idx="3">
                  <c:v>26.544240400667775</c:v>
                </c:pt>
                <c:pt idx="4">
                  <c:v>37.879968823070918</c:v>
                </c:pt>
                <c:pt idx="5">
                  <c:v>25.05293901016838</c:v>
                </c:pt>
                <c:pt idx="6">
                  <c:v>29.652351738241311</c:v>
                </c:pt>
                <c:pt idx="7">
                  <c:v>59.088697908221178</c:v>
                </c:pt>
                <c:pt idx="8">
                  <c:v>69.094138543516863</c:v>
                </c:pt>
                <c:pt idx="9">
                  <c:v>40.159868747376848</c:v>
                </c:pt>
                <c:pt idx="10">
                  <c:v>35.752212389380531</c:v>
                </c:pt>
                <c:pt idx="11">
                  <c:v>16.190552790513426</c:v>
                </c:pt>
                <c:pt idx="12">
                  <c:v>42.404006677796325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04-4DFE-8538-7CA98EF0EBF0}"/>
            </c:ext>
          </c:extLst>
        </c:ser>
        <c:ser>
          <c:idx val="2"/>
          <c:order val="2"/>
          <c:tx>
            <c:strRef>
              <c:f>'وضعیت ایران'!$Q$4</c:f>
              <c:strCache>
                <c:ptCount val="1"/>
                <c:pt idx="0">
                  <c:v>آرمانشهر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'وضعیت ایران'!$R$1:$AD$1</c:f>
              <c:strCache>
                <c:ptCount val="13"/>
                <c:pt idx="0">
                  <c:v>رقابت پذیری </c:v>
                </c:pt>
                <c:pt idx="1">
                  <c:v>سهولت کسب و کار</c:v>
                </c:pt>
                <c:pt idx="2">
                  <c:v>نوآوری</c:v>
                </c:pt>
                <c:pt idx="3">
                  <c:v>حقوق مالکیت</c:v>
                </c:pt>
                <c:pt idx="4">
                  <c:v>صلح</c:v>
                </c:pt>
                <c:pt idx="5">
                  <c:v>حکمرانی</c:v>
                </c:pt>
                <c:pt idx="6">
                  <c:v>دولت شکننده</c:v>
                </c:pt>
                <c:pt idx="7">
                  <c:v>پیشرفت اجتماعی</c:v>
                </c:pt>
                <c:pt idx="8">
                  <c:v>توسعه انسانی</c:v>
                </c:pt>
                <c:pt idx="9">
                  <c:v>شادی</c:v>
                </c:pt>
                <c:pt idx="10">
                  <c:v>کامیابی</c:v>
                </c:pt>
                <c:pt idx="11">
                  <c:v>بهره وری انرژی</c:v>
                </c:pt>
                <c:pt idx="12">
                  <c:v>محیط زیست</c:v>
                </c:pt>
              </c:strCache>
            </c:strRef>
          </c:cat>
          <c:val>
            <c:numRef>
              <c:f>'وضعیت ایران'!$R$4:$AD$4</c:f>
              <c:numCache>
                <c:formatCode>General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22-4F59-B0BA-40D6D6B7C4F1}"/>
            </c:ext>
          </c:extLst>
        </c:ser>
        <c:ser>
          <c:idx val="3"/>
          <c:order val="3"/>
          <c:tx>
            <c:strRef>
              <c:f>'وضعیت ایران'!$Q$5</c:f>
              <c:strCache>
                <c:ptCount val="1"/>
                <c:pt idx="0">
                  <c:v>ویرانشهر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'وضعیت ایران'!$R$1:$AD$1</c:f>
              <c:strCache>
                <c:ptCount val="13"/>
                <c:pt idx="0">
                  <c:v>رقابت پذیری </c:v>
                </c:pt>
                <c:pt idx="1">
                  <c:v>سهولت کسب و کار</c:v>
                </c:pt>
                <c:pt idx="2">
                  <c:v>نوآوری</c:v>
                </c:pt>
                <c:pt idx="3">
                  <c:v>حقوق مالکیت</c:v>
                </c:pt>
                <c:pt idx="4">
                  <c:v>صلح</c:v>
                </c:pt>
                <c:pt idx="5">
                  <c:v>حکمرانی</c:v>
                </c:pt>
                <c:pt idx="6">
                  <c:v>دولت شکننده</c:v>
                </c:pt>
                <c:pt idx="7">
                  <c:v>پیشرفت اجتماعی</c:v>
                </c:pt>
                <c:pt idx="8">
                  <c:v>توسعه انسانی</c:v>
                </c:pt>
                <c:pt idx="9">
                  <c:v>شادی</c:v>
                </c:pt>
                <c:pt idx="10">
                  <c:v>کامیابی</c:v>
                </c:pt>
                <c:pt idx="11">
                  <c:v>بهره وری انرژی</c:v>
                </c:pt>
                <c:pt idx="12">
                  <c:v>محیط زیست</c:v>
                </c:pt>
              </c:strCache>
            </c:strRef>
          </c:cat>
          <c:val>
            <c:numRef>
              <c:f>'وضعیت ایران'!$R$5:$AD$5</c:f>
              <c:numCache>
                <c:formatCode>General</c:formatCode>
                <c:ptCount val="13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AA-4C63-9CD3-6261D4D6B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579072"/>
        <c:axId val="144510912"/>
      </c:radarChart>
      <c:catAx>
        <c:axId val="14457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44510912"/>
        <c:crosses val="autoZero"/>
        <c:auto val="1"/>
        <c:lblAlgn val="ctr"/>
        <c:lblOffset val="100"/>
        <c:noMultiLvlLbl val="0"/>
      </c:catAx>
      <c:valAx>
        <c:axId val="14451091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4457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Nazanin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4877681046780263E-2"/>
                  <c:y val="-0.2017609618820687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val>
            <c:numRef>
              <c:f>'داده های شاخص ها برای ایران'!$B$3:$AD$3</c:f>
              <c:numCache>
                <c:formatCode>General</c:formatCode>
                <c:ptCount val="29"/>
                <c:pt idx="0">
                  <c:v>0.56499999999999995</c:v>
                </c:pt>
                <c:pt idx="1">
                  <c:v>0.58299999999999996</c:v>
                </c:pt>
                <c:pt idx="2">
                  <c:v>0.59599999999999997</c:v>
                </c:pt>
                <c:pt idx="3">
                  <c:v>0.60699999999999998</c:v>
                </c:pt>
                <c:pt idx="4">
                  <c:v>0.61599999999999999</c:v>
                </c:pt>
                <c:pt idx="5">
                  <c:v>0.627</c:v>
                </c:pt>
                <c:pt idx="6">
                  <c:v>0.63400000000000001</c:v>
                </c:pt>
                <c:pt idx="7">
                  <c:v>0.64</c:v>
                </c:pt>
                <c:pt idx="8">
                  <c:v>0.64700000000000002</c:v>
                </c:pt>
                <c:pt idx="9">
                  <c:v>0.65200000000000002</c:v>
                </c:pt>
                <c:pt idx="10">
                  <c:v>0.65800000000000003</c:v>
                </c:pt>
                <c:pt idx="11">
                  <c:v>0.66500000000000004</c:v>
                </c:pt>
                <c:pt idx="12">
                  <c:v>0.67</c:v>
                </c:pt>
                <c:pt idx="13">
                  <c:v>0.67700000000000005</c:v>
                </c:pt>
                <c:pt idx="14">
                  <c:v>0.67800000000000005</c:v>
                </c:pt>
                <c:pt idx="15">
                  <c:v>0.68300000000000005</c:v>
                </c:pt>
                <c:pt idx="16">
                  <c:v>0.71899999999999997</c:v>
                </c:pt>
                <c:pt idx="17">
                  <c:v>0.72299999999999998</c:v>
                </c:pt>
                <c:pt idx="18">
                  <c:v>0.72799999999999998</c:v>
                </c:pt>
                <c:pt idx="19">
                  <c:v>0.73399999999999999</c:v>
                </c:pt>
                <c:pt idx="20">
                  <c:v>0.74199999999999999</c:v>
                </c:pt>
                <c:pt idx="21">
                  <c:v>0.753</c:v>
                </c:pt>
                <c:pt idx="22">
                  <c:v>0.76800000000000002</c:v>
                </c:pt>
                <c:pt idx="23">
                  <c:v>0.77100000000000002</c:v>
                </c:pt>
                <c:pt idx="24">
                  <c:v>0.77400000000000002</c:v>
                </c:pt>
                <c:pt idx="25">
                  <c:v>0.77400000000000002</c:v>
                </c:pt>
                <c:pt idx="26">
                  <c:v>0.78400000000000003</c:v>
                </c:pt>
                <c:pt idx="27">
                  <c:v>0.78700000000000003</c:v>
                </c:pt>
                <c:pt idx="28">
                  <c:v>0.78500000000000003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A3-48BE-A3E4-21C7C5D90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51520"/>
        <c:axId val="143188544"/>
      </c:lineChart>
      <c:catAx>
        <c:axId val="1438515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188544"/>
        <c:crosses val="autoZero"/>
        <c:auto val="1"/>
        <c:lblAlgn val="ctr"/>
        <c:lblOffset val="100"/>
        <c:noMultiLvlLbl val="0"/>
      </c:catAx>
      <c:valAx>
        <c:axId val="14318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851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'وضعیت ایران'!$A$28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B Nazanin" panose="00000400000000000000" pitchFamily="2" charset="-78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'وضعیت ایران'!$B$27:$D$27</c:f>
              <c:strCache>
                <c:ptCount val="3"/>
                <c:pt idx="0">
                  <c:v>فراشاخص توسعه</c:v>
                </c:pt>
                <c:pt idx="1">
                  <c:v>نردبان توسعه</c:v>
                </c:pt>
                <c:pt idx="2">
                  <c:v>نردبان توسعه متوازن</c:v>
                </c:pt>
              </c:strCache>
            </c:strRef>
          </c:cat>
          <c:val>
            <c:numRef>
              <c:f>'وضعیت ایران'!$B$28:$D$28</c:f>
              <c:numCache>
                <c:formatCode>0.0</c:formatCode>
                <c:ptCount val="3"/>
                <c:pt idx="0">
                  <c:v>46.18350367209743</c:v>
                </c:pt>
                <c:pt idx="1">
                  <c:v>39.060104244251072</c:v>
                </c:pt>
                <c:pt idx="2">
                  <c:v>26.340847714292739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C7-40FF-8CBC-77964140E84A}"/>
            </c:ext>
          </c:extLst>
        </c:ser>
        <c:ser>
          <c:idx val="1"/>
          <c:order val="1"/>
          <c:tx>
            <c:strRef>
              <c:f>'وضعیت ایران'!$A$29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B Nazanin" panose="00000400000000000000" pitchFamily="2" charset="-78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'وضعیت ایران'!$B$27:$D$27</c:f>
              <c:strCache>
                <c:ptCount val="3"/>
                <c:pt idx="0">
                  <c:v>فراشاخص توسعه</c:v>
                </c:pt>
                <c:pt idx="1">
                  <c:v>نردبان توسعه</c:v>
                </c:pt>
                <c:pt idx="2">
                  <c:v>نردبان توسعه متوازن</c:v>
                </c:pt>
              </c:strCache>
            </c:strRef>
          </c:cat>
          <c:val>
            <c:numRef>
              <c:f>'وضعیت ایران'!$B$29:$D$29</c:f>
              <c:numCache>
                <c:formatCode>0.0</c:formatCode>
                <c:ptCount val="3"/>
                <c:pt idx="0">
                  <c:v>46.482804722429641</c:v>
                </c:pt>
                <c:pt idx="1">
                  <c:v>39.10722035004602</c:v>
                </c:pt>
                <c:pt idx="2">
                  <c:v>24.73841091920205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B0-4B9B-A1B5-1AFFF77561A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3861120"/>
        <c:axId val="144513216"/>
      </c:barChart>
      <c:catAx>
        <c:axId val="11386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44513216"/>
        <c:crosses val="autoZero"/>
        <c:auto val="1"/>
        <c:lblAlgn val="ctr"/>
        <c:lblOffset val="100"/>
        <c:noMultiLvlLbl val="0"/>
      </c:catAx>
      <c:valAx>
        <c:axId val="14451321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13861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Nazanin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0"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41218204774365E-2"/>
          <c:y val="7.5765816785103648E-2"/>
          <c:w val="0.91645882919977306"/>
          <c:h val="0.89902468835527694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A99-48FD-AA66-C281DD1C71DD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A99-48FD-AA66-C281DD1C71DD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A99-48FD-AA66-C281DD1C71DD}"/>
              </c:ext>
            </c:extLst>
          </c:dPt>
          <c:cat>
            <c:strRef>
              <c:f>'وضعیت ایران'!$B$41:$N$41</c:f>
              <c:strCache>
                <c:ptCount val="13"/>
                <c:pt idx="0">
                  <c:v>پیشرفت اجتماعی</c:v>
                </c:pt>
                <c:pt idx="1">
                  <c:v>توسعه انسانی</c:v>
                </c:pt>
                <c:pt idx="2">
                  <c:v>صلح</c:v>
                </c:pt>
                <c:pt idx="3">
                  <c:v>نوآوری</c:v>
                </c:pt>
                <c:pt idx="4">
                  <c:v>حقوق مالکیت</c:v>
                </c:pt>
                <c:pt idx="5">
                  <c:v>حکمرانی</c:v>
                </c:pt>
                <c:pt idx="6">
                  <c:v>سهولت کسب و کار</c:v>
                </c:pt>
                <c:pt idx="7">
                  <c:v>شادی</c:v>
                </c:pt>
                <c:pt idx="8">
                  <c:v>کامیابی</c:v>
                </c:pt>
                <c:pt idx="9">
                  <c:v>بهره وری انرژی</c:v>
                </c:pt>
                <c:pt idx="10">
                  <c:v>دولت غیر شکننده</c:v>
                </c:pt>
                <c:pt idx="11">
                  <c:v>رقابت پذیری </c:v>
                </c:pt>
                <c:pt idx="12">
                  <c:v>محیط زیست</c:v>
                </c:pt>
              </c:strCache>
            </c:strRef>
          </c:cat>
          <c:val>
            <c:numRef>
              <c:f>'وضعیت ایران'!$B$42:$N$42</c:f>
              <c:numCache>
                <c:formatCode>0.0</c:formatCode>
                <c:ptCount val="13"/>
                <c:pt idx="0">
                  <c:v>0.79634958787939691</c:v>
                </c:pt>
                <c:pt idx="1">
                  <c:v>1.1315505753742627</c:v>
                </c:pt>
                <c:pt idx="2" formatCode="General">
                  <c:v>-14.591069395326159</c:v>
                </c:pt>
                <c:pt idx="3">
                  <c:v>1.7853135709336332</c:v>
                </c:pt>
                <c:pt idx="4">
                  <c:v>0.12896237219093276</c:v>
                </c:pt>
                <c:pt idx="5" formatCode="General">
                  <c:v>-16.604802575551663</c:v>
                </c:pt>
                <c:pt idx="6">
                  <c:v>1.3808124623820861</c:v>
                </c:pt>
                <c:pt idx="7">
                  <c:v>9.0214222454565451E-2</c:v>
                </c:pt>
                <c:pt idx="8" formatCode="General">
                  <c:v>9.9081374925026839</c:v>
                </c:pt>
                <c:pt idx="9" formatCode="General">
                  <c:v>-41.346042845276372</c:v>
                </c:pt>
                <c:pt idx="10" formatCode="General">
                  <c:v>4.7572134402101414</c:v>
                </c:pt>
                <c:pt idx="11" formatCode="General">
                  <c:v>7.3537347886355473</c:v>
                </c:pt>
                <c:pt idx="12">
                  <c:v>2.1243166671905733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13-4DBA-9FD1-963B9E180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862144"/>
        <c:axId val="113951296"/>
      </c:barChart>
      <c:catAx>
        <c:axId val="11386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13951296"/>
        <c:crosses val="autoZero"/>
        <c:auto val="1"/>
        <c:lblAlgn val="ctr"/>
        <c:lblOffset val="100"/>
        <c:noMultiLvlLbl val="0"/>
      </c:catAx>
      <c:valAx>
        <c:axId val="11395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1386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'وضعیت ایران'!$Q$36</c:f>
              <c:strCache>
                <c:ptCount val="1"/>
                <c:pt idx="0">
                  <c:v>ایران 2015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'وضعیت ایران'!$R$35:$AD$35</c:f>
              <c:strCache>
                <c:ptCount val="13"/>
                <c:pt idx="0">
                  <c:v>رقابت پذیری </c:v>
                </c:pt>
                <c:pt idx="1">
                  <c:v>سهولت کسب و کار</c:v>
                </c:pt>
                <c:pt idx="2">
                  <c:v>نوآوری</c:v>
                </c:pt>
                <c:pt idx="3">
                  <c:v>حقوق مالکیت</c:v>
                </c:pt>
                <c:pt idx="4">
                  <c:v>صلح</c:v>
                </c:pt>
                <c:pt idx="5">
                  <c:v>حکمرانی</c:v>
                </c:pt>
                <c:pt idx="6">
                  <c:v>دولت شکننده</c:v>
                </c:pt>
                <c:pt idx="7">
                  <c:v>پیشرفت اجتماعی</c:v>
                </c:pt>
                <c:pt idx="8">
                  <c:v>توسعه انسانی</c:v>
                </c:pt>
                <c:pt idx="9">
                  <c:v>شادی</c:v>
                </c:pt>
                <c:pt idx="10">
                  <c:v>کامیابی</c:v>
                </c:pt>
                <c:pt idx="11">
                  <c:v>بهره وری انرژی</c:v>
                </c:pt>
                <c:pt idx="12">
                  <c:v>محیط زیست</c:v>
                </c:pt>
              </c:strCache>
            </c:strRef>
          </c:cat>
          <c:val>
            <c:numRef>
              <c:f>'وضعیت ایران'!$R$36:$AD$36</c:f>
              <c:numCache>
                <c:formatCode>General</c:formatCode>
                <c:ptCount val="13"/>
                <c:pt idx="0">
                  <c:v>52.06</c:v>
                </c:pt>
                <c:pt idx="1">
                  <c:v>57.301190000000005</c:v>
                </c:pt>
                <c:pt idx="2">
                  <c:v>28.4</c:v>
                </c:pt>
                <c:pt idx="3">
                  <c:v>39.65</c:v>
                </c:pt>
                <c:pt idx="4">
                  <c:v>62.075000000000003</c:v>
                </c:pt>
                <c:pt idx="5">
                  <c:v>31.707169000000004</c:v>
                </c:pt>
                <c:pt idx="6">
                  <c:v>27.416666666666671</c:v>
                </c:pt>
                <c:pt idx="7">
                  <c:v>65.16</c:v>
                </c:pt>
                <c:pt idx="8">
                  <c:v>77.400000000000006</c:v>
                </c:pt>
                <c:pt idx="9">
                  <c:v>46.86</c:v>
                </c:pt>
                <c:pt idx="10">
                  <c:v>46.805522070599999</c:v>
                </c:pt>
                <c:pt idx="11">
                  <c:v>22.1</c:v>
                </c:pt>
                <c:pt idx="12">
                  <c:v>43.449999999999982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B7-4E92-938B-510DE35CC96E}"/>
            </c:ext>
          </c:extLst>
        </c:ser>
        <c:ser>
          <c:idx val="1"/>
          <c:order val="1"/>
          <c:tx>
            <c:strRef>
              <c:f>'وضعیت ایران'!$Q$37</c:f>
              <c:strCache>
                <c:ptCount val="1"/>
                <c:pt idx="0">
                  <c:v>ایران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'وضعیت ایران'!$R$35:$AD$35</c:f>
              <c:strCache>
                <c:ptCount val="13"/>
                <c:pt idx="0">
                  <c:v>رقابت پذیری </c:v>
                </c:pt>
                <c:pt idx="1">
                  <c:v>سهولت کسب و کار</c:v>
                </c:pt>
                <c:pt idx="2">
                  <c:v>نوآوری</c:v>
                </c:pt>
                <c:pt idx="3">
                  <c:v>حقوق مالکیت</c:v>
                </c:pt>
                <c:pt idx="4">
                  <c:v>صلح</c:v>
                </c:pt>
                <c:pt idx="5">
                  <c:v>حکمرانی</c:v>
                </c:pt>
                <c:pt idx="6">
                  <c:v>دولت شکننده</c:v>
                </c:pt>
                <c:pt idx="7">
                  <c:v>پیشرفت اجتماعی</c:v>
                </c:pt>
                <c:pt idx="8">
                  <c:v>توسعه انسانی</c:v>
                </c:pt>
                <c:pt idx="9">
                  <c:v>شادی</c:v>
                </c:pt>
                <c:pt idx="10">
                  <c:v>کامیابی</c:v>
                </c:pt>
                <c:pt idx="11">
                  <c:v>بهره وری انرژی</c:v>
                </c:pt>
                <c:pt idx="12">
                  <c:v>محیط زیست</c:v>
                </c:pt>
              </c:strCache>
            </c:strRef>
          </c:cat>
          <c:val>
            <c:numRef>
              <c:f>'وضعیت ایران'!$R$37:$AD$37</c:f>
              <c:numCache>
                <c:formatCode>General</c:formatCode>
                <c:ptCount val="13"/>
                <c:pt idx="0">
                  <c:v>52.965924687079784</c:v>
                </c:pt>
                <c:pt idx="1">
                  <c:v>58.5</c:v>
                </c:pt>
                <c:pt idx="2">
                  <c:v>30.9</c:v>
                </c:pt>
                <c:pt idx="3">
                  <c:v>42.5</c:v>
                </c:pt>
                <c:pt idx="4">
                  <c:v>58.199999999999996</c:v>
                </c:pt>
                <c:pt idx="5">
                  <c:v>27</c:v>
                </c:pt>
                <c:pt idx="6">
                  <c:v>30.5</c:v>
                </c:pt>
                <c:pt idx="7">
                  <c:v>67.5</c:v>
                </c:pt>
                <c:pt idx="8">
                  <c:v>78.3</c:v>
                </c:pt>
                <c:pt idx="9">
                  <c:v>46.72</c:v>
                </c:pt>
                <c:pt idx="10">
                  <c:v>48.1</c:v>
                </c:pt>
                <c:pt idx="11">
                  <c:v>15.090536704505606</c:v>
                </c:pt>
                <c:pt idx="1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B7-4E92-938B-510DE35CC96E}"/>
            </c:ext>
          </c:extLst>
        </c:ser>
        <c:ser>
          <c:idx val="2"/>
          <c:order val="2"/>
          <c:tx>
            <c:strRef>
              <c:f>'وضعیت ایران'!$Q$38</c:f>
              <c:strCache>
                <c:ptCount val="1"/>
                <c:pt idx="0">
                  <c:v>آرمانشهر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'وضعیت ایران'!$R$35:$AD$35</c:f>
              <c:strCache>
                <c:ptCount val="13"/>
                <c:pt idx="0">
                  <c:v>رقابت پذیری </c:v>
                </c:pt>
                <c:pt idx="1">
                  <c:v>سهولت کسب و کار</c:v>
                </c:pt>
                <c:pt idx="2">
                  <c:v>نوآوری</c:v>
                </c:pt>
                <c:pt idx="3">
                  <c:v>حقوق مالکیت</c:v>
                </c:pt>
                <c:pt idx="4">
                  <c:v>صلح</c:v>
                </c:pt>
                <c:pt idx="5">
                  <c:v>حکمرانی</c:v>
                </c:pt>
                <c:pt idx="6">
                  <c:v>دولت شکننده</c:v>
                </c:pt>
                <c:pt idx="7">
                  <c:v>پیشرفت اجتماعی</c:v>
                </c:pt>
                <c:pt idx="8">
                  <c:v>توسعه انسانی</c:v>
                </c:pt>
                <c:pt idx="9">
                  <c:v>شادی</c:v>
                </c:pt>
                <c:pt idx="10">
                  <c:v>کامیابی</c:v>
                </c:pt>
                <c:pt idx="11">
                  <c:v>بهره وری انرژی</c:v>
                </c:pt>
                <c:pt idx="12">
                  <c:v>محیط زیست</c:v>
                </c:pt>
              </c:strCache>
            </c:strRef>
          </c:cat>
          <c:val>
            <c:numRef>
              <c:f>'وضعیت ایران'!$R$38:$AD$38</c:f>
              <c:numCache>
                <c:formatCode>General</c:formatCode>
                <c:ptCount val="13"/>
                <c:pt idx="0">
                  <c:v>84.78</c:v>
                </c:pt>
                <c:pt idx="1">
                  <c:v>86.8</c:v>
                </c:pt>
                <c:pt idx="2">
                  <c:v>66.099999999999994</c:v>
                </c:pt>
                <c:pt idx="3">
                  <c:v>86.5</c:v>
                </c:pt>
                <c:pt idx="4">
                  <c:v>98.05</c:v>
                </c:pt>
                <c:pt idx="5">
                  <c:v>85.61099999999999</c:v>
                </c:pt>
                <c:pt idx="6">
                  <c:v>87.833333333333329</c:v>
                </c:pt>
                <c:pt idx="7">
                  <c:v>92.73</c:v>
                </c:pt>
                <c:pt idx="8">
                  <c:v>95.7</c:v>
                </c:pt>
                <c:pt idx="9">
                  <c:v>78.087000000000003</c:v>
                </c:pt>
                <c:pt idx="10">
                  <c:v>84.4</c:v>
                </c:pt>
                <c:pt idx="11">
                  <c:v>81.299999999999983</c:v>
                </c:pt>
                <c:pt idx="12">
                  <c:v>82.5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B7-4E92-938B-510DE35CC96E}"/>
            </c:ext>
          </c:extLst>
        </c:ser>
        <c:ser>
          <c:idx val="3"/>
          <c:order val="3"/>
          <c:tx>
            <c:strRef>
              <c:f>'وضعیت ایران'!$Q$39</c:f>
              <c:strCache>
                <c:ptCount val="1"/>
                <c:pt idx="0">
                  <c:v>ویرانشهر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'وضعیت ایران'!$R$35:$AD$35</c:f>
              <c:strCache>
                <c:ptCount val="13"/>
                <c:pt idx="0">
                  <c:v>رقابت پذیری </c:v>
                </c:pt>
                <c:pt idx="1">
                  <c:v>سهولت کسب و کار</c:v>
                </c:pt>
                <c:pt idx="2">
                  <c:v>نوآوری</c:v>
                </c:pt>
                <c:pt idx="3">
                  <c:v>حقوق مالکیت</c:v>
                </c:pt>
                <c:pt idx="4">
                  <c:v>صلح</c:v>
                </c:pt>
                <c:pt idx="5">
                  <c:v>حکمرانی</c:v>
                </c:pt>
                <c:pt idx="6">
                  <c:v>دولت شکننده</c:v>
                </c:pt>
                <c:pt idx="7">
                  <c:v>پیشرفت اجتماعی</c:v>
                </c:pt>
                <c:pt idx="8">
                  <c:v>توسعه انسانی</c:v>
                </c:pt>
                <c:pt idx="9">
                  <c:v>شادی</c:v>
                </c:pt>
                <c:pt idx="10">
                  <c:v>کامیابی</c:v>
                </c:pt>
                <c:pt idx="11">
                  <c:v>بهره وری انرژی</c:v>
                </c:pt>
                <c:pt idx="12">
                  <c:v>محیط زیست</c:v>
                </c:pt>
              </c:strCache>
            </c:strRef>
          </c:cat>
          <c:val>
            <c:numRef>
              <c:f>'وضعیت ایران'!$R$39:$AD$39</c:f>
              <c:numCache>
                <c:formatCode>General</c:formatCode>
                <c:ptCount val="13"/>
                <c:pt idx="0">
                  <c:v>35.08</c:v>
                </c:pt>
                <c:pt idx="1">
                  <c:v>20</c:v>
                </c:pt>
                <c:pt idx="2">
                  <c:v>13.6</c:v>
                </c:pt>
                <c:pt idx="3">
                  <c:v>26.6</c:v>
                </c:pt>
                <c:pt idx="4">
                  <c:v>33.9</c:v>
                </c:pt>
                <c:pt idx="5">
                  <c:v>7.4077999999999999</c:v>
                </c:pt>
                <c:pt idx="6">
                  <c:v>6.3333333333333286</c:v>
                </c:pt>
                <c:pt idx="7">
                  <c:v>31.06</c:v>
                </c:pt>
                <c:pt idx="8">
                  <c:v>39.4</c:v>
                </c:pt>
                <c:pt idx="9">
                  <c:v>25.669</c:v>
                </c:pt>
                <c:pt idx="10">
                  <c:v>27.9</c:v>
                </c:pt>
                <c:pt idx="11">
                  <c:v>2.3000000000000043</c:v>
                </c:pt>
                <c:pt idx="12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B1-46D2-B267-C96AA27C7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63168"/>
        <c:axId val="113953024"/>
      </c:radarChart>
      <c:catAx>
        <c:axId val="11386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13953024"/>
        <c:crosses val="autoZero"/>
        <c:auto val="1"/>
        <c:lblAlgn val="ctr"/>
        <c:lblOffset val="100"/>
        <c:noMultiLvlLbl val="0"/>
      </c:catAx>
      <c:valAx>
        <c:axId val="11395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1386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Nazanin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r>
              <a:rPr lang="fa-IR"/>
              <a:t>نردبان</a:t>
            </a:r>
            <a:r>
              <a:rPr lang="fa-IR" baseline="0"/>
              <a:t> توسعه بین 2015 و 2020 ایران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B Nazanin" panose="00000400000000000000" pitchFamily="2" charset="-78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'وضعیت ایران'!$Q$68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'وضعیت ایران'!$R$67:$AD$67</c:f>
              <c:strCache>
                <c:ptCount val="13"/>
                <c:pt idx="0">
                  <c:v>رقابت پذیری </c:v>
                </c:pt>
                <c:pt idx="1">
                  <c:v>سهولت کسب و کار</c:v>
                </c:pt>
                <c:pt idx="2">
                  <c:v>نوآوری</c:v>
                </c:pt>
                <c:pt idx="3">
                  <c:v>حقوق مالکیت</c:v>
                </c:pt>
                <c:pt idx="4">
                  <c:v>صلح</c:v>
                </c:pt>
                <c:pt idx="5">
                  <c:v>حکمرانی</c:v>
                </c:pt>
                <c:pt idx="6">
                  <c:v>دولت شکننده</c:v>
                </c:pt>
                <c:pt idx="7">
                  <c:v>پیشرفت اجتماعی</c:v>
                </c:pt>
                <c:pt idx="8">
                  <c:v>توسعه انسانی</c:v>
                </c:pt>
                <c:pt idx="9">
                  <c:v>شادی</c:v>
                </c:pt>
                <c:pt idx="10">
                  <c:v>کامیابی</c:v>
                </c:pt>
                <c:pt idx="11">
                  <c:v>شدت انرژی</c:v>
                </c:pt>
                <c:pt idx="12">
                  <c:v>محیط زیست</c:v>
                </c:pt>
              </c:strCache>
            </c:strRef>
          </c:cat>
          <c:val>
            <c:numRef>
              <c:f>'وضعیت ایران'!$R$68:$AD$68</c:f>
              <c:numCache>
                <c:formatCode>General</c:formatCode>
                <c:ptCount val="13"/>
                <c:pt idx="0">
                  <c:v>33.522612046238081</c:v>
                </c:pt>
                <c:pt idx="1">
                  <c:v>48.439565972222233</c:v>
                </c:pt>
                <c:pt idx="2">
                  <c:v>30.849220103986134</c:v>
                </c:pt>
                <c:pt idx="3">
                  <c:v>24.350086655112648</c:v>
                </c:pt>
                <c:pt idx="4">
                  <c:v>44.351297405189626</c:v>
                </c:pt>
                <c:pt idx="5">
                  <c:v>30.041225135134461</c:v>
                </c:pt>
                <c:pt idx="6">
                  <c:v>28.305785123966952</c:v>
                </c:pt>
                <c:pt idx="7">
                  <c:v>57.62388818297331</c:v>
                </c:pt>
                <c:pt idx="8">
                  <c:v>69.913043478260889</c:v>
                </c:pt>
                <c:pt idx="9">
                  <c:v>38.900589721988204</c:v>
                </c:pt>
                <c:pt idx="10">
                  <c:v>32.529176824436085</c:v>
                </c:pt>
                <c:pt idx="11">
                  <c:v>27.603513174404021</c:v>
                </c:pt>
                <c:pt idx="12">
                  <c:v>41.351351351351319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25-4729-B4DA-40D8DCE34B95}"/>
            </c:ext>
          </c:extLst>
        </c:ser>
        <c:ser>
          <c:idx val="1"/>
          <c:order val="1"/>
          <c:tx>
            <c:strRef>
              <c:f>'وضعیت ایران'!$Q$69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'وضعیت ایران'!$R$67:$AD$67</c:f>
              <c:strCache>
                <c:ptCount val="13"/>
                <c:pt idx="0">
                  <c:v>رقابت پذیری </c:v>
                </c:pt>
                <c:pt idx="1">
                  <c:v>سهولت کسب و کار</c:v>
                </c:pt>
                <c:pt idx="2">
                  <c:v>نوآوری</c:v>
                </c:pt>
                <c:pt idx="3">
                  <c:v>حقوق مالکیت</c:v>
                </c:pt>
                <c:pt idx="4">
                  <c:v>صلح</c:v>
                </c:pt>
                <c:pt idx="5">
                  <c:v>حکمرانی</c:v>
                </c:pt>
                <c:pt idx="6">
                  <c:v>دولت شکننده</c:v>
                </c:pt>
                <c:pt idx="7">
                  <c:v>پیشرفت اجتماعی</c:v>
                </c:pt>
                <c:pt idx="8">
                  <c:v>توسعه انسانی</c:v>
                </c:pt>
                <c:pt idx="9">
                  <c:v>شادی</c:v>
                </c:pt>
                <c:pt idx="10">
                  <c:v>کامیابی</c:v>
                </c:pt>
                <c:pt idx="11">
                  <c:v>شدت انرژی</c:v>
                </c:pt>
                <c:pt idx="12">
                  <c:v>محیط زیست</c:v>
                </c:pt>
              </c:strCache>
            </c:strRef>
          </c:cat>
          <c:val>
            <c:numRef>
              <c:f>'وضعیت ایران'!$R$69:$AD$69</c:f>
              <c:numCache>
                <c:formatCode>General</c:formatCode>
                <c:ptCount val="13"/>
                <c:pt idx="0">
                  <c:v>35.987776030341621</c:v>
                </c:pt>
                <c:pt idx="1">
                  <c:v>57.634730538922156</c:v>
                </c:pt>
                <c:pt idx="2">
                  <c:v>32.952380952380949</c:v>
                </c:pt>
                <c:pt idx="3">
                  <c:v>26.544240400667775</c:v>
                </c:pt>
                <c:pt idx="4">
                  <c:v>37.879968823070918</c:v>
                </c:pt>
                <c:pt idx="5">
                  <c:v>25.05293901016838</c:v>
                </c:pt>
                <c:pt idx="6">
                  <c:v>29.652351738241311</c:v>
                </c:pt>
                <c:pt idx="7">
                  <c:v>59.088697908221178</c:v>
                </c:pt>
                <c:pt idx="8">
                  <c:v>69.094138543516863</c:v>
                </c:pt>
                <c:pt idx="9">
                  <c:v>40.159868747376848</c:v>
                </c:pt>
                <c:pt idx="10">
                  <c:v>35.752212389380531</c:v>
                </c:pt>
                <c:pt idx="11">
                  <c:v>16.190552790513426</c:v>
                </c:pt>
                <c:pt idx="12">
                  <c:v>42.404006677796325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25-4729-B4DA-40D8DCE34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9723695"/>
        <c:axId val="1119717039"/>
      </c:radarChart>
      <c:catAx>
        <c:axId val="1119723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119717039"/>
        <c:crosses val="autoZero"/>
        <c:auto val="1"/>
        <c:lblAlgn val="ctr"/>
        <c:lblOffset val="100"/>
        <c:noMultiLvlLbl val="0"/>
      </c:catAx>
      <c:valAx>
        <c:axId val="1119717039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119723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Nazanin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'روند ایران'!$AI$20</c:f>
              <c:strCache>
                <c:ptCount val="1"/>
                <c:pt idx="0">
                  <c:v>نمره فراشاخص توسعه ایران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B Nazanin" panose="00000400000000000000" pitchFamily="2" charset="-78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'روند ایران'!$AJ$19:$AQ$19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'روند ایران'!$AJ$20:$AQ$20</c:f>
              <c:numCache>
                <c:formatCode>0.0</c:formatCode>
                <c:ptCount val="8"/>
                <c:pt idx="0">
                  <c:v>45.686894113074004</c:v>
                </c:pt>
                <c:pt idx="1">
                  <c:v>45.897692659437659</c:v>
                </c:pt>
                <c:pt idx="2">
                  <c:v>46.180106070974368</c:v>
                </c:pt>
                <c:pt idx="3">
                  <c:v>47.015139093019464</c:v>
                </c:pt>
                <c:pt idx="4">
                  <c:v>47.718779895233034</c:v>
                </c:pt>
                <c:pt idx="5">
                  <c:v>47.730133981648009</c:v>
                </c:pt>
                <c:pt idx="6">
                  <c:v>47.30404859872688</c:v>
                </c:pt>
                <c:pt idx="7">
                  <c:v>46.487196448149525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A9-4712-8611-B6F7017DED1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52965968"/>
        <c:axId val="1152980944"/>
      </c:barChart>
      <c:catAx>
        <c:axId val="115296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152980944"/>
        <c:crosses val="autoZero"/>
        <c:auto val="1"/>
        <c:lblAlgn val="ctr"/>
        <c:lblOffset val="100"/>
        <c:noMultiLvlLbl val="0"/>
      </c:catAx>
      <c:valAx>
        <c:axId val="115298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152965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2"/>
          <c:order val="0"/>
          <c:tx>
            <c:strRef>
              <c:f>'ایران و ترکیه'!$Q$2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'ایران و ترکیه'!$R$1:$AD$1</c:f>
              <c:strCache>
                <c:ptCount val="13"/>
                <c:pt idx="0">
                  <c:v>پیشرفت اجتماعی</c:v>
                </c:pt>
                <c:pt idx="1">
                  <c:v>توسعه انسانی</c:v>
                </c:pt>
                <c:pt idx="2">
                  <c:v>صلح</c:v>
                </c:pt>
                <c:pt idx="3">
                  <c:v>نوآوری</c:v>
                </c:pt>
                <c:pt idx="4">
                  <c:v>حقوق مالکیت</c:v>
                </c:pt>
                <c:pt idx="5">
                  <c:v>حکمرانی</c:v>
                </c:pt>
                <c:pt idx="6">
                  <c:v>سهولت کسب و کار</c:v>
                </c:pt>
                <c:pt idx="7">
                  <c:v>شادی</c:v>
                </c:pt>
                <c:pt idx="8">
                  <c:v>کامیابی</c:v>
                </c:pt>
                <c:pt idx="9">
                  <c:v>بهره وری انرژی</c:v>
                </c:pt>
                <c:pt idx="10">
                  <c:v>دولت غیر شکننده</c:v>
                </c:pt>
                <c:pt idx="11">
                  <c:v>رقابت پذیری </c:v>
                </c:pt>
                <c:pt idx="12">
                  <c:v>محیط زیست</c:v>
                </c:pt>
              </c:strCache>
            </c:strRef>
          </c:cat>
          <c:val>
            <c:numRef>
              <c:f>'ایران و ترکیه'!$R$2:$AD$2</c:f>
              <c:numCache>
                <c:formatCode>General</c:formatCode>
                <c:ptCount val="13"/>
                <c:pt idx="0">
                  <c:v>59.088697908221178</c:v>
                </c:pt>
                <c:pt idx="1">
                  <c:v>69.094138543516863</c:v>
                </c:pt>
                <c:pt idx="2">
                  <c:v>37.879968823070918</c:v>
                </c:pt>
                <c:pt idx="3">
                  <c:v>32.952380952380949</c:v>
                </c:pt>
                <c:pt idx="4">
                  <c:v>26.544240400667775</c:v>
                </c:pt>
                <c:pt idx="5">
                  <c:v>25.05293901016838</c:v>
                </c:pt>
                <c:pt idx="6">
                  <c:v>57.634730538922156</c:v>
                </c:pt>
                <c:pt idx="7">
                  <c:v>40.159868747376848</c:v>
                </c:pt>
                <c:pt idx="8">
                  <c:v>35.752212389380531</c:v>
                </c:pt>
                <c:pt idx="9">
                  <c:v>16.190552790513426</c:v>
                </c:pt>
                <c:pt idx="10">
                  <c:v>29.652351738241311</c:v>
                </c:pt>
                <c:pt idx="11">
                  <c:v>35.987776030341621</c:v>
                </c:pt>
                <c:pt idx="12">
                  <c:v>42.404006677796325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56-4D64-B6C1-E03D9F3BDF2F}"/>
            </c:ext>
          </c:extLst>
        </c:ser>
        <c:ser>
          <c:idx val="3"/>
          <c:order val="1"/>
          <c:tx>
            <c:strRef>
              <c:f>'ایران و ترکیه'!$Q$3</c:f>
              <c:strCache>
                <c:ptCount val="1"/>
                <c:pt idx="0">
                  <c:v>ترکیه</c:v>
                </c:pt>
              </c:strCache>
            </c:strRef>
          </c:tx>
          <c:spPr>
            <a:ln w="28575" cap="rnd">
              <a:solidFill>
                <a:srgbClr val="DF860F"/>
              </a:solidFill>
              <a:round/>
            </a:ln>
            <a:effectLst/>
          </c:spPr>
          <c:marker>
            <c:symbol val="none"/>
          </c:marker>
          <c:cat>
            <c:strRef>
              <c:f>'ایران و ترکیه'!$R$1:$AD$1</c:f>
              <c:strCache>
                <c:ptCount val="13"/>
                <c:pt idx="0">
                  <c:v>پیشرفت اجتماعی</c:v>
                </c:pt>
                <c:pt idx="1">
                  <c:v>توسعه انسانی</c:v>
                </c:pt>
                <c:pt idx="2">
                  <c:v>صلح</c:v>
                </c:pt>
                <c:pt idx="3">
                  <c:v>نوآوری</c:v>
                </c:pt>
                <c:pt idx="4">
                  <c:v>حقوق مالکیت</c:v>
                </c:pt>
                <c:pt idx="5">
                  <c:v>حکمرانی</c:v>
                </c:pt>
                <c:pt idx="6">
                  <c:v>سهولت کسب و کار</c:v>
                </c:pt>
                <c:pt idx="7">
                  <c:v>شادی</c:v>
                </c:pt>
                <c:pt idx="8">
                  <c:v>کامیابی</c:v>
                </c:pt>
                <c:pt idx="9">
                  <c:v>بهره وری انرژی</c:v>
                </c:pt>
                <c:pt idx="10">
                  <c:v>دولت غیر شکننده</c:v>
                </c:pt>
                <c:pt idx="11">
                  <c:v>رقابت پذیری </c:v>
                </c:pt>
                <c:pt idx="12">
                  <c:v>محیط زیست</c:v>
                </c:pt>
              </c:strCache>
            </c:strRef>
          </c:cat>
          <c:val>
            <c:numRef>
              <c:f>'ایران و ترکیه'!$R$3:$AD$3</c:f>
              <c:numCache>
                <c:formatCode>General</c:formatCode>
                <c:ptCount val="13"/>
                <c:pt idx="0">
                  <c:v>60.337273622614568</c:v>
                </c:pt>
                <c:pt idx="1">
                  <c:v>73.357015985790397</c:v>
                </c:pt>
                <c:pt idx="2">
                  <c:v>26.695245518316444</c:v>
                </c:pt>
                <c:pt idx="3">
                  <c:v>40.571428571428569</c:v>
                </c:pt>
                <c:pt idx="4">
                  <c:v>43.439065108514185</c:v>
                </c:pt>
                <c:pt idx="5">
                  <c:v>42.995954982234316</c:v>
                </c:pt>
                <c:pt idx="6">
                  <c:v>85.029940119760482</c:v>
                </c:pt>
                <c:pt idx="7">
                  <c:v>48.931668028408836</c:v>
                </c:pt>
                <c:pt idx="8">
                  <c:v>48.704018333274327</c:v>
                </c:pt>
                <c:pt idx="9">
                  <c:v>88.277547390240343</c:v>
                </c:pt>
                <c:pt idx="10">
                  <c:v>34.00061962792519</c:v>
                </c:pt>
                <c:pt idx="11">
                  <c:v>54.439063354717412</c:v>
                </c:pt>
                <c:pt idx="12">
                  <c:v>33.388981636060102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56-4D64-B6C1-E03D9F3BD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584640"/>
        <c:axId val="144840320"/>
      </c:radarChart>
      <c:catAx>
        <c:axId val="14558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44840320"/>
        <c:crosses val="autoZero"/>
        <c:auto val="1"/>
        <c:lblAlgn val="ctr"/>
        <c:lblOffset val="100"/>
        <c:noMultiLvlLbl val="0"/>
      </c:catAx>
      <c:valAx>
        <c:axId val="1448403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4558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Nazanin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'ایران و ترکیه'!$A$23</c:f>
              <c:strCache>
                <c:ptCount val="1"/>
                <c:pt idx="0">
                  <c:v>ایران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B Nazanin" panose="00000400000000000000" pitchFamily="2" charset="-78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'ایران و ترکیه'!$B$22:$C$22</c:f>
              <c:strCache>
                <c:ptCount val="2"/>
                <c:pt idx="0">
                  <c:v>شاخص توسعه</c:v>
                </c:pt>
                <c:pt idx="1">
                  <c:v>شاخص توسعه متوازن</c:v>
                </c:pt>
              </c:strCache>
            </c:strRef>
          </c:cat>
          <c:val>
            <c:numRef>
              <c:f>'ایران و ترکیه'!$B$23:$C$23</c:f>
              <c:numCache>
                <c:formatCode>0</c:formatCode>
                <c:ptCount val="2"/>
                <c:pt idx="0">
                  <c:v>39.10722035004602</c:v>
                </c:pt>
                <c:pt idx="1">
                  <c:v>24.73841091920205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8A-4FEF-AE74-867103C97E07}"/>
            </c:ext>
          </c:extLst>
        </c:ser>
        <c:ser>
          <c:idx val="1"/>
          <c:order val="1"/>
          <c:tx>
            <c:strRef>
              <c:f>'ایران و ترکیه'!$A$24</c:f>
              <c:strCache>
                <c:ptCount val="1"/>
                <c:pt idx="0">
                  <c:v>ترکیه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B Nazanin" panose="00000400000000000000" pitchFamily="2" charset="-78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'ایران و ترکیه'!$B$22:$C$22</c:f>
              <c:strCache>
                <c:ptCount val="2"/>
                <c:pt idx="0">
                  <c:v>شاخص توسعه</c:v>
                </c:pt>
                <c:pt idx="1">
                  <c:v>شاخص توسعه متوازن</c:v>
                </c:pt>
              </c:strCache>
            </c:strRef>
          </c:cat>
          <c:val>
            <c:numRef>
              <c:f>'ایران و ترکیه'!$B$24:$C$24</c:f>
              <c:numCache>
                <c:formatCode>0</c:formatCode>
                <c:ptCount val="2"/>
                <c:pt idx="0">
                  <c:v>52.320601713791163</c:v>
                </c:pt>
                <c:pt idx="1">
                  <c:v>33.605709241883559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8A-4FEF-AE74-867103C97E0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5518592"/>
        <c:axId val="145907712"/>
      </c:barChart>
      <c:catAx>
        <c:axId val="14551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45907712"/>
        <c:crosses val="autoZero"/>
        <c:auto val="1"/>
        <c:lblAlgn val="ctr"/>
        <c:lblOffset val="100"/>
        <c:noMultiLvlLbl val="0"/>
      </c:catAx>
      <c:valAx>
        <c:axId val="14590771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45518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Nazanin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'ایران و ترکیه'!$Q$31</c:f>
              <c:strCache>
                <c:ptCount val="1"/>
                <c:pt idx="0">
                  <c:v>آرمانشهر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'ایران و ترکیه'!$R$30:$AD$30</c:f>
              <c:strCache>
                <c:ptCount val="13"/>
                <c:pt idx="0">
                  <c:v>پیشرفت اجتماعی</c:v>
                </c:pt>
                <c:pt idx="1">
                  <c:v>توسعه انسانی</c:v>
                </c:pt>
                <c:pt idx="2">
                  <c:v>صلح</c:v>
                </c:pt>
                <c:pt idx="3">
                  <c:v>نوآوری</c:v>
                </c:pt>
                <c:pt idx="4">
                  <c:v>حقوق مالکیت</c:v>
                </c:pt>
                <c:pt idx="5">
                  <c:v>حکمرانی</c:v>
                </c:pt>
                <c:pt idx="6">
                  <c:v>سهولت کسب و کار</c:v>
                </c:pt>
                <c:pt idx="7">
                  <c:v>شادی</c:v>
                </c:pt>
                <c:pt idx="8">
                  <c:v>کامیابی</c:v>
                </c:pt>
                <c:pt idx="9">
                  <c:v>بهره وری انرژی</c:v>
                </c:pt>
                <c:pt idx="10">
                  <c:v>دولت غیر شکننده</c:v>
                </c:pt>
                <c:pt idx="11">
                  <c:v>رقابت پذیری </c:v>
                </c:pt>
                <c:pt idx="12">
                  <c:v>محیط زیست</c:v>
                </c:pt>
              </c:strCache>
            </c:strRef>
          </c:cat>
          <c:val>
            <c:numRef>
              <c:f>'ایران و ترکیه'!$R$31:$AD$31</c:f>
              <c:numCache>
                <c:formatCode>General</c:formatCode>
                <c:ptCount val="13"/>
                <c:pt idx="0">
                  <c:v>92.73</c:v>
                </c:pt>
                <c:pt idx="1">
                  <c:v>95.7</c:v>
                </c:pt>
                <c:pt idx="2">
                  <c:v>98.05</c:v>
                </c:pt>
                <c:pt idx="3">
                  <c:v>66.099999999999994</c:v>
                </c:pt>
                <c:pt idx="4">
                  <c:v>86.5</c:v>
                </c:pt>
                <c:pt idx="5">
                  <c:v>85.61099999999999</c:v>
                </c:pt>
                <c:pt idx="6">
                  <c:v>86.8</c:v>
                </c:pt>
                <c:pt idx="7">
                  <c:v>78.087000000000003</c:v>
                </c:pt>
                <c:pt idx="8">
                  <c:v>84.4</c:v>
                </c:pt>
                <c:pt idx="9">
                  <c:v>81.299999999999983</c:v>
                </c:pt>
                <c:pt idx="10">
                  <c:v>87.833333333333329</c:v>
                </c:pt>
                <c:pt idx="11">
                  <c:v>84.78</c:v>
                </c:pt>
                <c:pt idx="12">
                  <c:v>82.5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23-4CE5-B1A5-754D1EA36C8B}"/>
            </c:ext>
          </c:extLst>
        </c:ser>
        <c:ser>
          <c:idx val="1"/>
          <c:order val="1"/>
          <c:tx>
            <c:strRef>
              <c:f>'ایران و ترکیه'!$Q$32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'ایران و ترکیه'!$R$30:$AD$30</c:f>
              <c:strCache>
                <c:ptCount val="13"/>
                <c:pt idx="0">
                  <c:v>پیشرفت اجتماعی</c:v>
                </c:pt>
                <c:pt idx="1">
                  <c:v>توسعه انسانی</c:v>
                </c:pt>
                <c:pt idx="2">
                  <c:v>صلح</c:v>
                </c:pt>
                <c:pt idx="3">
                  <c:v>نوآوری</c:v>
                </c:pt>
                <c:pt idx="4">
                  <c:v>حقوق مالکیت</c:v>
                </c:pt>
                <c:pt idx="5">
                  <c:v>حکمرانی</c:v>
                </c:pt>
                <c:pt idx="6">
                  <c:v>سهولت کسب و کار</c:v>
                </c:pt>
                <c:pt idx="7">
                  <c:v>شادی</c:v>
                </c:pt>
                <c:pt idx="8">
                  <c:v>کامیابی</c:v>
                </c:pt>
                <c:pt idx="9">
                  <c:v>بهره وری انرژی</c:v>
                </c:pt>
                <c:pt idx="10">
                  <c:v>دولت غیر شکننده</c:v>
                </c:pt>
                <c:pt idx="11">
                  <c:v>رقابت پذیری </c:v>
                </c:pt>
                <c:pt idx="12">
                  <c:v>محیط زیست</c:v>
                </c:pt>
              </c:strCache>
            </c:strRef>
          </c:cat>
          <c:val>
            <c:numRef>
              <c:f>'ایران و ترکیه'!$R$32:$AD$32</c:f>
              <c:numCache>
                <c:formatCode>General</c:formatCode>
                <c:ptCount val="13"/>
                <c:pt idx="0">
                  <c:v>67.5</c:v>
                </c:pt>
                <c:pt idx="1">
                  <c:v>78.3</c:v>
                </c:pt>
                <c:pt idx="2">
                  <c:v>58.199999999999996</c:v>
                </c:pt>
                <c:pt idx="3">
                  <c:v>30.9</c:v>
                </c:pt>
                <c:pt idx="4">
                  <c:v>42.5</c:v>
                </c:pt>
                <c:pt idx="5">
                  <c:v>27</c:v>
                </c:pt>
                <c:pt idx="6">
                  <c:v>58.5</c:v>
                </c:pt>
                <c:pt idx="7">
                  <c:v>46.72</c:v>
                </c:pt>
                <c:pt idx="8">
                  <c:v>48.1</c:v>
                </c:pt>
                <c:pt idx="9">
                  <c:v>15.090536704505606</c:v>
                </c:pt>
                <c:pt idx="10">
                  <c:v>30.5</c:v>
                </c:pt>
                <c:pt idx="11">
                  <c:v>52.965924687079784</c:v>
                </c:pt>
                <c:pt idx="1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23-4CE5-B1A5-754D1EA36C8B}"/>
            </c:ext>
          </c:extLst>
        </c:ser>
        <c:ser>
          <c:idx val="2"/>
          <c:order val="2"/>
          <c:tx>
            <c:strRef>
              <c:f>'ایران و ترکیه'!$Q$33</c:f>
              <c:strCache>
                <c:ptCount val="1"/>
                <c:pt idx="0">
                  <c:v>ترکیه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'ایران و ترکیه'!$R$30:$AD$30</c:f>
              <c:strCache>
                <c:ptCount val="13"/>
                <c:pt idx="0">
                  <c:v>پیشرفت اجتماعی</c:v>
                </c:pt>
                <c:pt idx="1">
                  <c:v>توسعه انسانی</c:v>
                </c:pt>
                <c:pt idx="2">
                  <c:v>صلح</c:v>
                </c:pt>
                <c:pt idx="3">
                  <c:v>نوآوری</c:v>
                </c:pt>
                <c:pt idx="4">
                  <c:v>حقوق مالکیت</c:v>
                </c:pt>
                <c:pt idx="5">
                  <c:v>حکمرانی</c:v>
                </c:pt>
                <c:pt idx="6">
                  <c:v>سهولت کسب و کار</c:v>
                </c:pt>
                <c:pt idx="7">
                  <c:v>شادی</c:v>
                </c:pt>
                <c:pt idx="8">
                  <c:v>کامیابی</c:v>
                </c:pt>
                <c:pt idx="9">
                  <c:v>بهره وری انرژی</c:v>
                </c:pt>
                <c:pt idx="10">
                  <c:v>دولت غیر شکننده</c:v>
                </c:pt>
                <c:pt idx="11">
                  <c:v>رقابت پذیری </c:v>
                </c:pt>
                <c:pt idx="12">
                  <c:v>محیط زیست</c:v>
                </c:pt>
              </c:strCache>
            </c:strRef>
          </c:cat>
          <c:val>
            <c:numRef>
              <c:f>'ایران و ترکیه'!$R$33:$AD$33</c:f>
              <c:numCache>
                <c:formatCode>General</c:formatCode>
                <c:ptCount val="13"/>
                <c:pt idx="0">
                  <c:v>68.269996643066406</c:v>
                </c:pt>
                <c:pt idx="1">
                  <c:v>80.7</c:v>
                </c:pt>
                <c:pt idx="2">
                  <c:v>51.024999999999999</c:v>
                </c:pt>
                <c:pt idx="3">
                  <c:v>34.9</c:v>
                </c:pt>
                <c:pt idx="4">
                  <c:v>52.62</c:v>
                </c:pt>
                <c:pt idx="5">
                  <c:v>41.032012666666667</c:v>
                </c:pt>
                <c:pt idx="6">
                  <c:v>76.8</c:v>
                </c:pt>
                <c:pt idx="7">
                  <c:v>51.318001747131348</c:v>
                </c:pt>
                <c:pt idx="8">
                  <c:v>55.417770358299997</c:v>
                </c:pt>
                <c:pt idx="9">
                  <c:v>72.039262438289853</c:v>
                </c:pt>
                <c:pt idx="10">
                  <c:v>34.043838330092356</c:v>
                </c:pt>
                <c:pt idx="11">
                  <c:v>62.136214487294552</c:v>
                </c:pt>
                <c:pt idx="12">
                  <c:v>42.6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23-4CE5-B1A5-754D1EA36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519616"/>
        <c:axId val="145910016"/>
      </c:radarChart>
      <c:catAx>
        <c:axId val="1455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45910016"/>
        <c:crosses val="autoZero"/>
        <c:auto val="1"/>
        <c:lblAlgn val="ctr"/>
        <c:lblOffset val="100"/>
        <c:noMultiLvlLbl val="0"/>
      </c:catAx>
      <c:valAx>
        <c:axId val="14591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45519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Nazanin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'ایران و کره جنوبی'!$Q$2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'ایران و کره جنوبی'!$R$1:$AD$1</c:f>
              <c:strCache>
                <c:ptCount val="13"/>
                <c:pt idx="0">
                  <c:v>پیشرفت اجتماعی</c:v>
                </c:pt>
                <c:pt idx="1">
                  <c:v>توسعه انسانی</c:v>
                </c:pt>
                <c:pt idx="2">
                  <c:v>صلح</c:v>
                </c:pt>
                <c:pt idx="3">
                  <c:v>نوآوری</c:v>
                </c:pt>
                <c:pt idx="4">
                  <c:v>حقوق مالکیت</c:v>
                </c:pt>
                <c:pt idx="5">
                  <c:v>حکمرانی</c:v>
                </c:pt>
                <c:pt idx="6">
                  <c:v>سهولت کسب و کار</c:v>
                </c:pt>
                <c:pt idx="7">
                  <c:v>شادی</c:v>
                </c:pt>
                <c:pt idx="8">
                  <c:v>کامیابی</c:v>
                </c:pt>
                <c:pt idx="9">
                  <c:v>بهره وری انرژی</c:v>
                </c:pt>
                <c:pt idx="10">
                  <c:v>دولت غیر شکننده</c:v>
                </c:pt>
                <c:pt idx="11">
                  <c:v>رقابت پذیری </c:v>
                </c:pt>
                <c:pt idx="12">
                  <c:v>محیط زیست</c:v>
                </c:pt>
              </c:strCache>
            </c:strRef>
          </c:cat>
          <c:val>
            <c:numRef>
              <c:f>'ایران و کره جنوبی'!$R$2:$AD$2</c:f>
              <c:numCache>
                <c:formatCode>General</c:formatCode>
                <c:ptCount val="13"/>
                <c:pt idx="0">
                  <c:v>59.088697908221178</c:v>
                </c:pt>
                <c:pt idx="1">
                  <c:v>69.094138543516863</c:v>
                </c:pt>
                <c:pt idx="2">
                  <c:v>37.879968823070918</c:v>
                </c:pt>
                <c:pt idx="3">
                  <c:v>32.952380952380949</c:v>
                </c:pt>
                <c:pt idx="4">
                  <c:v>26.544240400667775</c:v>
                </c:pt>
                <c:pt idx="5">
                  <c:v>25.05293901016838</c:v>
                </c:pt>
                <c:pt idx="6">
                  <c:v>57.634730538922156</c:v>
                </c:pt>
                <c:pt idx="7">
                  <c:v>40.159868747376848</c:v>
                </c:pt>
                <c:pt idx="8">
                  <c:v>35.752212389380531</c:v>
                </c:pt>
                <c:pt idx="9">
                  <c:v>16.190552790513426</c:v>
                </c:pt>
                <c:pt idx="10">
                  <c:v>29.652351738241311</c:v>
                </c:pt>
                <c:pt idx="11">
                  <c:v>35.987776030341621</c:v>
                </c:pt>
                <c:pt idx="12">
                  <c:v>42.404006677796325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0-4CB1-B4BC-42FF75017739}"/>
            </c:ext>
          </c:extLst>
        </c:ser>
        <c:ser>
          <c:idx val="1"/>
          <c:order val="1"/>
          <c:tx>
            <c:strRef>
              <c:f>'ایران و کره جنوبی'!$Q$3</c:f>
              <c:strCache>
                <c:ptCount val="1"/>
                <c:pt idx="0">
                  <c:v>کره جنوبی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'ایران و کره جنوبی'!$R$1:$AD$1</c:f>
              <c:strCache>
                <c:ptCount val="13"/>
                <c:pt idx="0">
                  <c:v>پیشرفت اجتماعی</c:v>
                </c:pt>
                <c:pt idx="1">
                  <c:v>توسعه انسانی</c:v>
                </c:pt>
                <c:pt idx="2">
                  <c:v>صلح</c:v>
                </c:pt>
                <c:pt idx="3">
                  <c:v>نوآوری</c:v>
                </c:pt>
                <c:pt idx="4">
                  <c:v>حقوق مالکیت</c:v>
                </c:pt>
                <c:pt idx="5">
                  <c:v>حکمرانی</c:v>
                </c:pt>
                <c:pt idx="6">
                  <c:v>سهولت کسب و کار</c:v>
                </c:pt>
                <c:pt idx="7">
                  <c:v>شادی</c:v>
                </c:pt>
                <c:pt idx="8">
                  <c:v>کامیابی</c:v>
                </c:pt>
                <c:pt idx="9">
                  <c:v>بهره وری انرژی</c:v>
                </c:pt>
                <c:pt idx="10">
                  <c:v>دولت غیر شکننده</c:v>
                </c:pt>
                <c:pt idx="11">
                  <c:v>رقابت پذیری </c:v>
                </c:pt>
                <c:pt idx="12">
                  <c:v>محیط زیست</c:v>
                </c:pt>
              </c:strCache>
            </c:strRef>
          </c:cat>
          <c:val>
            <c:numRef>
              <c:f>'ایران و کره جنوبی'!$R$3:$AD$3</c:f>
              <c:numCache>
                <c:formatCode>General</c:formatCode>
                <c:ptCount val="13"/>
                <c:pt idx="0">
                  <c:v>94.048966367105152</c:v>
                </c:pt>
                <c:pt idx="1">
                  <c:v>90.941385435168755</c:v>
                </c:pt>
                <c:pt idx="2">
                  <c:v>70.732657833203433</c:v>
                </c:pt>
                <c:pt idx="3">
                  <c:v>80.952380952380963</c:v>
                </c:pt>
                <c:pt idx="4">
                  <c:v>66.126878130217037</c:v>
                </c:pt>
                <c:pt idx="5">
                  <c:v>78.534327666046053</c:v>
                </c:pt>
                <c:pt idx="6">
                  <c:v>95.808383233532936</c:v>
                </c:pt>
                <c:pt idx="7">
                  <c:v>63.060395417152854</c:v>
                </c:pt>
                <c:pt idx="8">
                  <c:v>79.890173681061938</c:v>
                </c:pt>
                <c:pt idx="9">
                  <c:v>43.020263986889596</c:v>
                </c:pt>
                <c:pt idx="10">
                  <c:v>82.1929719533846</c:v>
                </c:pt>
                <c:pt idx="11">
                  <c:v>89.615728225726414</c:v>
                </c:pt>
                <c:pt idx="12">
                  <c:v>73.288814691151927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0-4CB1-B4BC-42FF75017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522176"/>
        <c:axId val="145912320"/>
      </c:radarChart>
      <c:catAx>
        <c:axId val="14552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45912320"/>
        <c:crosses val="autoZero"/>
        <c:auto val="1"/>
        <c:lblAlgn val="ctr"/>
        <c:lblOffset val="100"/>
        <c:noMultiLvlLbl val="0"/>
      </c:catAx>
      <c:valAx>
        <c:axId val="14591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4552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Nazanin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'ایران و کره جنوبی'!$A$23</c:f>
              <c:strCache>
                <c:ptCount val="1"/>
                <c:pt idx="0">
                  <c:v>ایران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B Nazanin" panose="00000400000000000000" pitchFamily="2" charset="-78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'ایران و کره جنوبی'!$B$22:$C$22</c:f>
              <c:strCache>
                <c:ptCount val="2"/>
                <c:pt idx="0">
                  <c:v>شاخص توسعه</c:v>
                </c:pt>
                <c:pt idx="1">
                  <c:v>شاخص توسعه متوازن</c:v>
                </c:pt>
              </c:strCache>
            </c:strRef>
          </c:cat>
          <c:val>
            <c:numRef>
              <c:f>'ایران و کره جنوبی'!$B$23:$C$23</c:f>
              <c:numCache>
                <c:formatCode>General</c:formatCode>
                <c:ptCount val="2"/>
                <c:pt idx="0">
                  <c:v>39.10722035004602</c:v>
                </c:pt>
                <c:pt idx="1">
                  <c:v>24.73841091920205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A2-48E3-B7CC-F094D8EB56FE}"/>
            </c:ext>
          </c:extLst>
        </c:ser>
        <c:ser>
          <c:idx val="1"/>
          <c:order val="1"/>
          <c:tx>
            <c:strRef>
              <c:f>'ایران و کره جنوبی'!$A$24</c:f>
              <c:strCache>
                <c:ptCount val="1"/>
                <c:pt idx="0">
                  <c:v>کره جنوبی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B Nazanin" panose="00000400000000000000" pitchFamily="2" charset="-78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'ایران و کره جنوبی'!$B$22:$C$22</c:f>
              <c:strCache>
                <c:ptCount val="2"/>
                <c:pt idx="0">
                  <c:v>شاخص توسعه</c:v>
                </c:pt>
                <c:pt idx="1">
                  <c:v>شاخص توسعه متوازن</c:v>
                </c:pt>
              </c:strCache>
            </c:strRef>
          </c:cat>
          <c:val>
            <c:numRef>
              <c:f>'ایران و کره جنوبی'!$B$24:$C$24</c:f>
              <c:numCache>
                <c:formatCode>General</c:formatCode>
                <c:ptCount val="2"/>
                <c:pt idx="0">
                  <c:v>77.554871351770913</c:v>
                </c:pt>
                <c:pt idx="1">
                  <c:v>63.501547849942931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A2-48E3-B7CC-F094D8EB56F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7203584"/>
        <c:axId val="145915200"/>
      </c:barChart>
      <c:catAx>
        <c:axId val="14720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45915200"/>
        <c:crosses val="autoZero"/>
        <c:auto val="1"/>
        <c:lblAlgn val="ctr"/>
        <c:lblOffset val="100"/>
        <c:noMultiLvlLbl val="0"/>
      </c:catAx>
      <c:valAx>
        <c:axId val="14591520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47203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Nazanin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8057348348439309E-2"/>
                  <c:y val="-0.308432968608223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val>
            <c:numRef>
              <c:f>'داده های شاخص ها برای ایران'!$T$4:$AF$4</c:f>
              <c:numCache>
                <c:formatCode>General</c:formatCode>
                <c:ptCount val="13"/>
                <c:pt idx="1">
                  <c:v>2.35</c:v>
                </c:pt>
                <c:pt idx="2">
                  <c:v>2.4340000000000002</c:v>
                </c:pt>
                <c:pt idx="3">
                  <c:v>2.556</c:v>
                </c:pt>
                <c:pt idx="5">
                  <c:v>2.5840000000000001</c:v>
                </c:pt>
                <c:pt idx="6">
                  <c:v>2.536</c:v>
                </c:pt>
                <c:pt idx="7">
                  <c:v>2.5169999999999999</c:v>
                </c:pt>
                <c:pt idx="8">
                  <c:v>2.4060000000000001</c:v>
                </c:pt>
                <c:pt idx="9">
                  <c:v>2.351</c:v>
                </c:pt>
                <c:pt idx="10">
                  <c:v>2.4390000000000001</c:v>
                </c:pt>
                <c:pt idx="11">
                  <c:v>2.5350000000000001</c:v>
                </c:pt>
                <c:pt idx="12">
                  <c:v>2.6720000000000002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09-4737-9C8E-15E7C5B1A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52544"/>
        <c:axId val="143190272"/>
      </c:lineChart>
      <c:catAx>
        <c:axId val="1438525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190272"/>
        <c:crosses val="autoZero"/>
        <c:auto val="1"/>
        <c:lblAlgn val="ctr"/>
        <c:lblOffset val="100"/>
        <c:noMultiLvlLbl val="0"/>
      </c:catAx>
      <c:valAx>
        <c:axId val="14319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85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'ایران و کره جنوبی'!$Q$30</c:f>
              <c:strCache>
                <c:ptCount val="1"/>
                <c:pt idx="0">
                  <c:v>آرمانشهر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'ایران و کره جنوبی'!$R$29:$AD$29</c:f>
              <c:strCache>
                <c:ptCount val="13"/>
                <c:pt idx="0">
                  <c:v>پیشرفت اجتماعی</c:v>
                </c:pt>
                <c:pt idx="1">
                  <c:v>توسعه انسانی</c:v>
                </c:pt>
                <c:pt idx="2">
                  <c:v>صلح</c:v>
                </c:pt>
                <c:pt idx="3">
                  <c:v>نوآوری</c:v>
                </c:pt>
                <c:pt idx="4">
                  <c:v>حقوق مالکیت</c:v>
                </c:pt>
                <c:pt idx="5">
                  <c:v>حکمرانی</c:v>
                </c:pt>
                <c:pt idx="6">
                  <c:v>سهولت کسب و کار</c:v>
                </c:pt>
                <c:pt idx="7">
                  <c:v>شادی</c:v>
                </c:pt>
                <c:pt idx="8">
                  <c:v>کامیابی</c:v>
                </c:pt>
                <c:pt idx="9">
                  <c:v>بهره وری انرژی</c:v>
                </c:pt>
                <c:pt idx="10">
                  <c:v>دولت غیر شکننده</c:v>
                </c:pt>
                <c:pt idx="11">
                  <c:v>رقابت پذیری </c:v>
                </c:pt>
                <c:pt idx="12">
                  <c:v>محیط زیست</c:v>
                </c:pt>
              </c:strCache>
            </c:strRef>
          </c:cat>
          <c:val>
            <c:numRef>
              <c:f>'ایران و کره جنوبی'!$R$30:$AD$30</c:f>
              <c:numCache>
                <c:formatCode>General</c:formatCode>
                <c:ptCount val="13"/>
                <c:pt idx="0">
                  <c:v>92.73</c:v>
                </c:pt>
                <c:pt idx="1">
                  <c:v>95.7</c:v>
                </c:pt>
                <c:pt idx="2">
                  <c:v>98.05</c:v>
                </c:pt>
                <c:pt idx="3">
                  <c:v>66.099999999999994</c:v>
                </c:pt>
                <c:pt idx="4">
                  <c:v>86.5</c:v>
                </c:pt>
                <c:pt idx="5">
                  <c:v>85.61099999999999</c:v>
                </c:pt>
                <c:pt idx="6">
                  <c:v>86.8</c:v>
                </c:pt>
                <c:pt idx="7">
                  <c:v>78.087000000000003</c:v>
                </c:pt>
                <c:pt idx="8">
                  <c:v>84.4</c:v>
                </c:pt>
                <c:pt idx="9">
                  <c:v>81.299999999999983</c:v>
                </c:pt>
                <c:pt idx="10">
                  <c:v>87.833333333333329</c:v>
                </c:pt>
                <c:pt idx="11">
                  <c:v>84.78</c:v>
                </c:pt>
                <c:pt idx="12">
                  <c:v>82.5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CC-49FC-88FA-DDCA637F9A09}"/>
            </c:ext>
          </c:extLst>
        </c:ser>
        <c:ser>
          <c:idx val="1"/>
          <c:order val="1"/>
          <c:tx>
            <c:strRef>
              <c:f>'ایران و کره جنوبی'!$Q$31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'ایران و کره جنوبی'!$R$29:$AD$29</c:f>
              <c:strCache>
                <c:ptCount val="13"/>
                <c:pt idx="0">
                  <c:v>پیشرفت اجتماعی</c:v>
                </c:pt>
                <c:pt idx="1">
                  <c:v>توسعه انسانی</c:v>
                </c:pt>
                <c:pt idx="2">
                  <c:v>صلح</c:v>
                </c:pt>
                <c:pt idx="3">
                  <c:v>نوآوری</c:v>
                </c:pt>
                <c:pt idx="4">
                  <c:v>حقوق مالکیت</c:v>
                </c:pt>
                <c:pt idx="5">
                  <c:v>حکمرانی</c:v>
                </c:pt>
                <c:pt idx="6">
                  <c:v>سهولت کسب و کار</c:v>
                </c:pt>
                <c:pt idx="7">
                  <c:v>شادی</c:v>
                </c:pt>
                <c:pt idx="8">
                  <c:v>کامیابی</c:v>
                </c:pt>
                <c:pt idx="9">
                  <c:v>بهره وری انرژی</c:v>
                </c:pt>
                <c:pt idx="10">
                  <c:v>دولت غیر شکننده</c:v>
                </c:pt>
                <c:pt idx="11">
                  <c:v>رقابت پذیری </c:v>
                </c:pt>
                <c:pt idx="12">
                  <c:v>محیط زیست</c:v>
                </c:pt>
              </c:strCache>
            </c:strRef>
          </c:cat>
          <c:val>
            <c:numRef>
              <c:f>'ایران و کره جنوبی'!$R$31:$AD$31</c:f>
              <c:numCache>
                <c:formatCode>General</c:formatCode>
                <c:ptCount val="13"/>
                <c:pt idx="0">
                  <c:v>67.5</c:v>
                </c:pt>
                <c:pt idx="1">
                  <c:v>78.3</c:v>
                </c:pt>
                <c:pt idx="2">
                  <c:v>58.199999999999996</c:v>
                </c:pt>
                <c:pt idx="3">
                  <c:v>30.9</c:v>
                </c:pt>
                <c:pt idx="4">
                  <c:v>42.5</c:v>
                </c:pt>
                <c:pt idx="5">
                  <c:v>27</c:v>
                </c:pt>
                <c:pt idx="6">
                  <c:v>58.5</c:v>
                </c:pt>
                <c:pt idx="7">
                  <c:v>46.72</c:v>
                </c:pt>
                <c:pt idx="8">
                  <c:v>48.1</c:v>
                </c:pt>
                <c:pt idx="9">
                  <c:v>15.090536704505606</c:v>
                </c:pt>
                <c:pt idx="10">
                  <c:v>30.5</c:v>
                </c:pt>
                <c:pt idx="11">
                  <c:v>52.965924687079784</c:v>
                </c:pt>
                <c:pt idx="1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CC-49FC-88FA-DDCA637F9A09}"/>
            </c:ext>
          </c:extLst>
        </c:ser>
        <c:ser>
          <c:idx val="2"/>
          <c:order val="2"/>
          <c:tx>
            <c:strRef>
              <c:f>'ایران و کره جنوبی'!$Q$32</c:f>
              <c:strCache>
                <c:ptCount val="1"/>
                <c:pt idx="0">
                  <c:v>کره جنوبی</c:v>
                </c:pt>
              </c:strCache>
            </c:strRef>
          </c:tx>
          <c:spPr>
            <a:ln w="28575" cap="rnd">
              <a:solidFill>
                <a:srgbClr val="DF860F"/>
              </a:solidFill>
              <a:round/>
            </a:ln>
            <a:effectLst/>
          </c:spPr>
          <c:marker>
            <c:symbol val="none"/>
          </c:marker>
          <c:cat>
            <c:strRef>
              <c:f>'ایران و کره جنوبی'!$R$29:$AD$29</c:f>
              <c:strCache>
                <c:ptCount val="13"/>
                <c:pt idx="0">
                  <c:v>پیشرفت اجتماعی</c:v>
                </c:pt>
                <c:pt idx="1">
                  <c:v>توسعه انسانی</c:v>
                </c:pt>
                <c:pt idx="2">
                  <c:v>صلح</c:v>
                </c:pt>
                <c:pt idx="3">
                  <c:v>نوآوری</c:v>
                </c:pt>
                <c:pt idx="4">
                  <c:v>حقوق مالکیت</c:v>
                </c:pt>
                <c:pt idx="5">
                  <c:v>حکمرانی</c:v>
                </c:pt>
                <c:pt idx="6">
                  <c:v>سهولت کسب و کار</c:v>
                </c:pt>
                <c:pt idx="7">
                  <c:v>شادی</c:v>
                </c:pt>
                <c:pt idx="8">
                  <c:v>کامیابی</c:v>
                </c:pt>
                <c:pt idx="9">
                  <c:v>بهره وری انرژی</c:v>
                </c:pt>
                <c:pt idx="10">
                  <c:v>دولت غیر شکننده</c:v>
                </c:pt>
                <c:pt idx="11">
                  <c:v>رقابت پذیری </c:v>
                </c:pt>
                <c:pt idx="12">
                  <c:v>محیط زیست</c:v>
                </c:pt>
              </c:strCache>
            </c:strRef>
          </c:cat>
          <c:val>
            <c:numRef>
              <c:f>'ایران و کره جنوبی'!$R$32:$AD$32</c:f>
              <c:numCache>
                <c:formatCode>General</c:formatCode>
                <c:ptCount val="13"/>
                <c:pt idx="0">
                  <c:v>89.05999755859375</c:v>
                </c:pt>
                <c:pt idx="1">
                  <c:v>90.600000000000009</c:v>
                </c:pt>
                <c:pt idx="2">
                  <c:v>79.275000000000006</c:v>
                </c:pt>
                <c:pt idx="3">
                  <c:v>56.1</c:v>
                </c:pt>
                <c:pt idx="4">
                  <c:v>66.210000000000008</c:v>
                </c:pt>
                <c:pt idx="5">
                  <c:v>68.824157333333332</c:v>
                </c:pt>
                <c:pt idx="6">
                  <c:v>84</c:v>
                </c:pt>
                <c:pt idx="7">
                  <c:v>58.723998069763184</c:v>
                </c:pt>
                <c:pt idx="8">
                  <c:v>73.0379481298</c:v>
                </c:pt>
                <c:pt idx="9">
                  <c:v>36.286008549642773</c:v>
                </c:pt>
                <c:pt idx="10">
                  <c:v>73.320605475341779</c:v>
                </c:pt>
                <c:pt idx="11">
                  <c:v>79.619016928186028</c:v>
                </c:pt>
                <c:pt idx="12">
                  <c:v>66.5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CC-49FC-88FA-DDCA637F9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204608"/>
        <c:axId val="3302528"/>
      </c:radarChart>
      <c:catAx>
        <c:axId val="14720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3302528"/>
        <c:crosses val="autoZero"/>
        <c:auto val="1"/>
        <c:lblAlgn val="ctr"/>
        <c:lblOffset val="100"/>
        <c:noMultiLvlLbl val="0"/>
      </c:catAx>
      <c:valAx>
        <c:axId val="330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47204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Nazanin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'ایران و چین'!$Q$2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'ایران و چین'!$R$1:$AD$1</c:f>
              <c:strCache>
                <c:ptCount val="13"/>
                <c:pt idx="0">
                  <c:v>پیشرفت اجتماعی</c:v>
                </c:pt>
                <c:pt idx="1">
                  <c:v>توسعه انسانی</c:v>
                </c:pt>
                <c:pt idx="2">
                  <c:v>صلح</c:v>
                </c:pt>
                <c:pt idx="3">
                  <c:v>نوآوری</c:v>
                </c:pt>
                <c:pt idx="4">
                  <c:v>حقوق مالکیت</c:v>
                </c:pt>
                <c:pt idx="5">
                  <c:v>حکمرانی</c:v>
                </c:pt>
                <c:pt idx="6">
                  <c:v>سهولت کسب و کار</c:v>
                </c:pt>
                <c:pt idx="7">
                  <c:v>شادی</c:v>
                </c:pt>
                <c:pt idx="8">
                  <c:v>کامیابی</c:v>
                </c:pt>
                <c:pt idx="9">
                  <c:v>بهره وری انرژی</c:v>
                </c:pt>
                <c:pt idx="10">
                  <c:v>دولت غیر شکننده</c:v>
                </c:pt>
                <c:pt idx="11">
                  <c:v>رقابت پذیری </c:v>
                </c:pt>
                <c:pt idx="12">
                  <c:v>محیط زیست</c:v>
                </c:pt>
              </c:strCache>
            </c:strRef>
          </c:cat>
          <c:val>
            <c:numRef>
              <c:f>'ایران و چین'!$R$2:$AD$2</c:f>
              <c:numCache>
                <c:formatCode>General</c:formatCode>
                <c:ptCount val="13"/>
                <c:pt idx="0">
                  <c:v>59.088697908221178</c:v>
                </c:pt>
                <c:pt idx="1">
                  <c:v>69.094138543516863</c:v>
                </c:pt>
                <c:pt idx="2">
                  <c:v>37.879968823070918</c:v>
                </c:pt>
                <c:pt idx="3">
                  <c:v>32.952380952380949</c:v>
                </c:pt>
                <c:pt idx="4">
                  <c:v>26.544240400667775</c:v>
                </c:pt>
                <c:pt idx="5">
                  <c:v>25.05293901016838</c:v>
                </c:pt>
                <c:pt idx="6">
                  <c:v>57.634730538922156</c:v>
                </c:pt>
                <c:pt idx="7">
                  <c:v>40.159868747376848</c:v>
                </c:pt>
                <c:pt idx="8">
                  <c:v>35.752212389380531</c:v>
                </c:pt>
                <c:pt idx="9">
                  <c:v>16.190552790513426</c:v>
                </c:pt>
                <c:pt idx="10">
                  <c:v>29.652351738241311</c:v>
                </c:pt>
                <c:pt idx="11">
                  <c:v>35.987776030341621</c:v>
                </c:pt>
                <c:pt idx="12">
                  <c:v>42.404006677796325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8-4482-B0EF-6A55EF433D48}"/>
            </c:ext>
          </c:extLst>
        </c:ser>
        <c:ser>
          <c:idx val="1"/>
          <c:order val="1"/>
          <c:tx>
            <c:strRef>
              <c:f>'ایران و چین'!$Q$3</c:f>
              <c:strCache>
                <c:ptCount val="1"/>
                <c:pt idx="0">
                  <c:v>چین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'ایران و چین'!$R$1:$AD$1</c:f>
              <c:strCache>
                <c:ptCount val="13"/>
                <c:pt idx="0">
                  <c:v>پیشرفت اجتماعی</c:v>
                </c:pt>
                <c:pt idx="1">
                  <c:v>توسعه انسانی</c:v>
                </c:pt>
                <c:pt idx="2">
                  <c:v>صلح</c:v>
                </c:pt>
                <c:pt idx="3">
                  <c:v>نوآوری</c:v>
                </c:pt>
                <c:pt idx="4">
                  <c:v>حقوق مالکیت</c:v>
                </c:pt>
                <c:pt idx="5">
                  <c:v>حکمرانی</c:v>
                </c:pt>
                <c:pt idx="6">
                  <c:v>سهولت کسب و کار</c:v>
                </c:pt>
                <c:pt idx="7">
                  <c:v>شادی</c:v>
                </c:pt>
                <c:pt idx="8">
                  <c:v>کامیابی</c:v>
                </c:pt>
                <c:pt idx="9">
                  <c:v>بهره وری انرژی</c:v>
                </c:pt>
                <c:pt idx="10">
                  <c:v>دولت غیر شکننده</c:v>
                </c:pt>
                <c:pt idx="11">
                  <c:v>رقابت پذیری </c:v>
                </c:pt>
                <c:pt idx="12">
                  <c:v>محیط زیست</c:v>
                </c:pt>
              </c:strCache>
            </c:strRef>
          </c:cat>
          <c:val>
            <c:numRef>
              <c:f>'ایران و چین'!$R$3:$AD$3</c:f>
              <c:numCache>
                <c:formatCode>General</c:formatCode>
                <c:ptCount val="13"/>
                <c:pt idx="0">
                  <c:v>56.850985481728607</c:v>
                </c:pt>
                <c:pt idx="1">
                  <c:v>64.653641207815269</c:v>
                </c:pt>
                <c:pt idx="2">
                  <c:v>57.599376461418558</c:v>
                </c:pt>
                <c:pt idx="3">
                  <c:v>75.61904761904762</c:v>
                </c:pt>
                <c:pt idx="4">
                  <c:v>56.310517529215367</c:v>
                </c:pt>
                <c:pt idx="5">
                  <c:v>45.182842901569238</c:v>
                </c:pt>
                <c:pt idx="6">
                  <c:v>86.676646706586837</c:v>
                </c:pt>
                <c:pt idx="7">
                  <c:v>48.780951899653267</c:v>
                </c:pt>
                <c:pt idx="8">
                  <c:v>58.151649707256624</c:v>
                </c:pt>
                <c:pt idx="9">
                  <c:v>56.418643062944255</c:v>
                </c:pt>
                <c:pt idx="10">
                  <c:v>43.498171881560886</c:v>
                </c:pt>
                <c:pt idx="11">
                  <c:v>78.110899842159426</c:v>
                </c:pt>
                <c:pt idx="12">
                  <c:v>24.540901502504166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F8-4482-B0EF-6A55EF433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317248"/>
        <c:axId val="3304832"/>
      </c:radarChart>
      <c:catAx>
        <c:axId val="14731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3304832"/>
        <c:crosses val="autoZero"/>
        <c:auto val="1"/>
        <c:lblAlgn val="ctr"/>
        <c:lblOffset val="100"/>
        <c:noMultiLvlLbl val="0"/>
      </c:catAx>
      <c:valAx>
        <c:axId val="330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4731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Nazanin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'ایران و چین'!$A$23</c:f>
              <c:strCache>
                <c:ptCount val="1"/>
                <c:pt idx="0">
                  <c:v>ایران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B Nazanin" panose="00000400000000000000" pitchFamily="2" charset="-78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'ایران و چین'!$B$22:$C$22</c:f>
              <c:strCache>
                <c:ptCount val="2"/>
                <c:pt idx="0">
                  <c:v>شاخص توسعه</c:v>
                </c:pt>
                <c:pt idx="1">
                  <c:v>شاخص توسعه متوازن</c:v>
                </c:pt>
              </c:strCache>
            </c:strRef>
          </c:cat>
          <c:val>
            <c:numRef>
              <c:f>'ایران و چین'!$B$23:$C$23</c:f>
              <c:numCache>
                <c:formatCode>General</c:formatCode>
                <c:ptCount val="2"/>
                <c:pt idx="0">
                  <c:v>39.10722035004602</c:v>
                </c:pt>
                <c:pt idx="1">
                  <c:v>24.73841091920205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E-4E78-B350-800596B2CDB9}"/>
            </c:ext>
          </c:extLst>
        </c:ser>
        <c:ser>
          <c:idx val="1"/>
          <c:order val="1"/>
          <c:tx>
            <c:strRef>
              <c:f>'ایران و چین'!$A$24</c:f>
              <c:strCache>
                <c:ptCount val="1"/>
                <c:pt idx="0">
                  <c:v>چین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B Nazanin" panose="00000400000000000000" pitchFamily="2" charset="-78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'ایران و چین'!$B$22:$C$22</c:f>
              <c:strCache>
                <c:ptCount val="2"/>
                <c:pt idx="0">
                  <c:v>شاخص توسعه</c:v>
                </c:pt>
                <c:pt idx="1">
                  <c:v>شاخص توسعه متوازن</c:v>
                </c:pt>
              </c:strCache>
            </c:strRef>
          </c:cat>
          <c:val>
            <c:numRef>
              <c:f>'ایران و چین'!$B$24:$C$24</c:f>
              <c:numCache>
                <c:formatCode>General</c:formatCode>
                <c:ptCount val="2"/>
                <c:pt idx="0">
                  <c:v>57.876482754112317</c:v>
                </c:pt>
                <c:pt idx="1">
                  <c:v>42.267695210669814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7E-4E78-B350-800596B2CDB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7319296"/>
        <c:axId val="3307136"/>
      </c:barChart>
      <c:catAx>
        <c:axId val="14731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3307136"/>
        <c:crosses val="autoZero"/>
        <c:auto val="1"/>
        <c:lblAlgn val="ctr"/>
        <c:lblOffset val="100"/>
        <c:noMultiLvlLbl val="0"/>
      </c:catAx>
      <c:valAx>
        <c:axId val="33071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4731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Nazanin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'ایران و چین'!$Q$32</c:f>
              <c:strCache>
                <c:ptCount val="1"/>
                <c:pt idx="0">
                  <c:v>آرمانشهر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'ایران و چین'!$R$31:$AD$31</c:f>
              <c:strCache>
                <c:ptCount val="13"/>
                <c:pt idx="0">
                  <c:v>پیشرفت اجتماعی</c:v>
                </c:pt>
                <c:pt idx="1">
                  <c:v>توسعه انسانی</c:v>
                </c:pt>
                <c:pt idx="2">
                  <c:v>صلح</c:v>
                </c:pt>
                <c:pt idx="3">
                  <c:v>نوآوری</c:v>
                </c:pt>
                <c:pt idx="4">
                  <c:v>حقوق مالکیت</c:v>
                </c:pt>
                <c:pt idx="5">
                  <c:v>حکمرانی</c:v>
                </c:pt>
                <c:pt idx="6">
                  <c:v>سهولت کسب و کار</c:v>
                </c:pt>
                <c:pt idx="7">
                  <c:v>شادی</c:v>
                </c:pt>
                <c:pt idx="8">
                  <c:v>کامیابی</c:v>
                </c:pt>
                <c:pt idx="9">
                  <c:v>بهره وری انرژی</c:v>
                </c:pt>
                <c:pt idx="10">
                  <c:v>دولت غیر شکننده</c:v>
                </c:pt>
                <c:pt idx="11">
                  <c:v>رقابت پذیری </c:v>
                </c:pt>
                <c:pt idx="12">
                  <c:v>محیط زیست</c:v>
                </c:pt>
              </c:strCache>
            </c:strRef>
          </c:cat>
          <c:val>
            <c:numRef>
              <c:f>'ایران و چین'!$R$32:$AD$32</c:f>
              <c:numCache>
                <c:formatCode>General</c:formatCode>
                <c:ptCount val="13"/>
                <c:pt idx="0">
                  <c:v>92.73</c:v>
                </c:pt>
                <c:pt idx="1">
                  <c:v>95.7</c:v>
                </c:pt>
                <c:pt idx="2">
                  <c:v>98.05</c:v>
                </c:pt>
                <c:pt idx="3">
                  <c:v>66.099999999999994</c:v>
                </c:pt>
                <c:pt idx="4">
                  <c:v>86.5</c:v>
                </c:pt>
                <c:pt idx="5">
                  <c:v>85.61099999999999</c:v>
                </c:pt>
                <c:pt idx="6">
                  <c:v>86.8</c:v>
                </c:pt>
                <c:pt idx="7">
                  <c:v>78.087000000000003</c:v>
                </c:pt>
                <c:pt idx="8">
                  <c:v>84.4</c:v>
                </c:pt>
                <c:pt idx="9">
                  <c:v>81.299999999999983</c:v>
                </c:pt>
                <c:pt idx="10">
                  <c:v>87.833333333333329</c:v>
                </c:pt>
                <c:pt idx="11">
                  <c:v>84.78</c:v>
                </c:pt>
                <c:pt idx="12">
                  <c:v>82.5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D8-43EE-9533-C97DAA09ABC9}"/>
            </c:ext>
          </c:extLst>
        </c:ser>
        <c:ser>
          <c:idx val="1"/>
          <c:order val="1"/>
          <c:tx>
            <c:strRef>
              <c:f>'ایران و چین'!$Q$33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'ایران و چین'!$R$31:$AD$31</c:f>
              <c:strCache>
                <c:ptCount val="13"/>
                <c:pt idx="0">
                  <c:v>پیشرفت اجتماعی</c:v>
                </c:pt>
                <c:pt idx="1">
                  <c:v>توسعه انسانی</c:v>
                </c:pt>
                <c:pt idx="2">
                  <c:v>صلح</c:v>
                </c:pt>
                <c:pt idx="3">
                  <c:v>نوآوری</c:v>
                </c:pt>
                <c:pt idx="4">
                  <c:v>حقوق مالکیت</c:v>
                </c:pt>
                <c:pt idx="5">
                  <c:v>حکمرانی</c:v>
                </c:pt>
                <c:pt idx="6">
                  <c:v>سهولت کسب و کار</c:v>
                </c:pt>
                <c:pt idx="7">
                  <c:v>شادی</c:v>
                </c:pt>
                <c:pt idx="8">
                  <c:v>کامیابی</c:v>
                </c:pt>
                <c:pt idx="9">
                  <c:v>بهره وری انرژی</c:v>
                </c:pt>
                <c:pt idx="10">
                  <c:v>دولت غیر شکننده</c:v>
                </c:pt>
                <c:pt idx="11">
                  <c:v>رقابت پذیری </c:v>
                </c:pt>
                <c:pt idx="12">
                  <c:v>محیط زیست</c:v>
                </c:pt>
              </c:strCache>
            </c:strRef>
          </c:cat>
          <c:val>
            <c:numRef>
              <c:f>'ایران و چین'!$R$33:$AD$33</c:f>
              <c:numCache>
                <c:formatCode>General</c:formatCode>
                <c:ptCount val="13"/>
                <c:pt idx="0">
                  <c:v>67.5</c:v>
                </c:pt>
                <c:pt idx="1">
                  <c:v>78.3</c:v>
                </c:pt>
                <c:pt idx="2">
                  <c:v>58.199999999999996</c:v>
                </c:pt>
                <c:pt idx="3">
                  <c:v>30.9</c:v>
                </c:pt>
                <c:pt idx="4">
                  <c:v>42.5</c:v>
                </c:pt>
                <c:pt idx="5">
                  <c:v>27</c:v>
                </c:pt>
                <c:pt idx="6">
                  <c:v>58.5</c:v>
                </c:pt>
                <c:pt idx="7">
                  <c:v>46.72</c:v>
                </c:pt>
                <c:pt idx="8">
                  <c:v>48.1</c:v>
                </c:pt>
                <c:pt idx="9">
                  <c:v>15.090536704505606</c:v>
                </c:pt>
                <c:pt idx="10">
                  <c:v>30.5</c:v>
                </c:pt>
                <c:pt idx="11">
                  <c:v>52.965924687079784</c:v>
                </c:pt>
                <c:pt idx="1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D8-43EE-9533-C97DAA09ABC9}"/>
            </c:ext>
          </c:extLst>
        </c:ser>
        <c:ser>
          <c:idx val="2"/>
          <c:order val="2"/>
          <c:tx>
            <c:strRef>
              <c:f>'ایران و چین'!$Q$34</c:f>
              <c:strCache>
                <c:ptCount val="1"/>
                <c:pt idx="0">
                  <c:v>چین</c:v>
                </c:pt>
              </c:strCache>
            </c:strRef>
          </c:tx>
          <c:spPr>
            <a:ln w="28575" cap="rnd">
              <a:solidFill>
                <a:srgbClr val="DF860F"/>
              </a:solidFill>
              <a:round/>
            </a:ln>
            <a:effectLst/>
          </c:spPr>
          <c:marker>
            <c:symbol val="none"/>
          </c:marker>
          <c:cat>
            <c:strRef>
              <c:f>'ایران و چین'!$R$31:$AD$31</c:f>
              <c:strCache>
                <c:ptCount val="13"/>
                <c:pt idx="0">
                  <c:v>پیشرفت اجتماعی</c:v>
                </c:pt>
                <c:pt idx="1">
                  <c:v>توسعه انسانی</c:v>
                </c:pt>
                <c:pt idx="2">
                  <c:v>صلح</c:v>
                </c:pt>
                <c:pt idx="3">
                  <c:v>نوآوری</c:v>
                </c:pt>
                <c:pt idx="4">
                  <c:v>حقوق مالکیت</c:v>
                </c:pt>
                <c:pt idx="5">
                  <c:v>حکمرانی</c:v>
                </c:pt>
                <c:pt idx="6">
                  <c:v>سهولت کسب و کار</c:v>
                </c:pt>
                <c:pt idx="7">
                  <c:v>شادی</c:v>
                </c:pt>
                <c:pt idx="8">
                  <c:v>کامیابی</c:v>
                </c:pt>
                <c:pt idx="9">
                  <c:v>بهره وری انرژی</c:v>
                </c:pt>
                <c:pt idx="10">
                  <c:v>دولت غیر شکننده</c:v>
                </c:pt>
                <c:pt idx="11">
                  <c:v>رقابت پذیری </c:v>
                </c:pt>
                <c:pt idx="12">
                  <c:v>محیط زیست</c:v>
                </c:pt>
              </c:strCache>
            </c:strRef>
          </c:cat>
          <c:val>
            <c:numRef>
              <c:f>'ایران و چین'!$R$34:$AD$34</c:f>
              <c:numCache>
                <c:formatCode>General</c:formatCode>
                <c:ptCount val="13"/>
                <c:pt idx="0">
                  <c:v>66.120002746582031</c:v>
                </c:pt>
                <c:pt idx="1">
                  <c:v>75.8</c:v>
                </c:pt>
                <c:pt idx="2">
                  <c:v>70.850000000000009</c:v>
                </c:pt>
                <c:pt idx="3">
                  <c:v>53.3</c:v>
                </c:pt>
                <c:pt idx="4">
                  <c:v>60.330000000000005</c:v>
                </c:pt>
                <c:pt idx="5">
                  <c:v>42.742228999999995</c:v>
                </c:pt>
                <c:pt idx="6">
                  <c:v>77.900000000000006</c:v>
                </c:pt>
                <c:pt idx="7">
                  <c:v>51.238999366760254</c:v>
                </c:pt>
                <c:pt idx="8">
                  <c:v>60.755682084599997</c:v>
                </c:pt>
                <c:pt idx="9">
                  <c:v>46.870728019725952</c:v>
                </c:pt>
                <c:pt idx="10">
                  <c:v>41.784343416805449</c:v>
                </c:pt>
                <c:pt idx="11">
                  <c:v>73.901117221553235</c:v>
                </c:pt>
                <c:pt idx="12">
                  <c:v>37.299999999999997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D8-43EE-9533-C97DAA09A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756160"/>
        <c:axId val="147374080"/>
      </c:radarChart>
      <c:catAx>
        <c:axId val="14575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47374080"/>
        <c:crosses val="autoZero"/>
        <c:auto val="1"/>
        <c:lblAlgn val="ctr"/>
        <c:lblOffset val="100"/>
        <c:noMultiLvlLbl val="0"/>
      </c:catAx>
      <c:valAx>
        <c:axId val="14737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4575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Nazanin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'ایران و سنگاپور'!$A$23</c:f>
              <c:strCache>
                <c:ptCount val="1"/>
                <c:pt idx="0">
                  <c:v>ایران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B Nazanin" panose="00000400000000000000" pitchFamily="2" charset="-78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'ایران و سنگاپور'!$B$22:$C$22</c:f>
              <c:strCache>
                <c:ptCount val="2"/>
                <c:pt idx="0">
                  <c:v>شاخص توسعه</c:v>
                </c:pt>
                <c:pt idx="1">
                  <c:v>شاخص توسعه متوازن</c:v>
                </c:pt>
              </c:strCache>
            </c:strRef>
          </c:cat>
          <c:val>
            <c:numRef>
              <c:f>'ایران و سنگاپور'!$B$23:$C$23</c:f>
              <c:numCache>
                <c:formatCode>0</c:formatCode>
                <c:ptCount val="2"/>
                <c:pt idx="0">
                  <c:v>39.10722035004602</c:v>
                </c:pt>
                <c:pt idx="1">
                  <c:v>24.73841091920205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AD-4315-A8CA-7DB5A665AF28}"/>
            </c:ext>
          </c:extLst>
        </c:ser>
        <c:ser>
          <c:idx val="1"/>
          <c:order val="1"/>
          <c:tx>
            <c:strRef>
              <c:f>'ایران و سنگاپور'!$A$24</c:f>
              <c:strCache>
                <c:ptCount val="1"/>
                <c:pt idx="0">
                  <c:v>سنگاپور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B Nazanin" panose="00000400000000000000" pitchFamily="2" charset="-78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'ایران و سنگاپور'!$B$22:$C$22</c:f>
              <c:strCache>
                <c:ptCount val="2"/>
                <c:pt idx="0">
                  <c:v>شاخص توسعه</c:v>
                </c:pt>
                <c:pt idx="1">
                  <c:v>شاخص توسعه متوازن</c:v>
                </c:pt>
              </c:strCache>
            </c:strRef>
          </c:cat>
          <c:val>
            <c:numRef>
              <c:f>'ایران و سنگاپور'!$B$24:$C$24</c:f>
              <c:numCache>
                <c:formatCode>0</c:formatCode>
                <c:ptCount val="2"/>
                <c:pt idx="0">
                  <c:v>86.178917852896902</c:v>
                </c:pt>
                <c:pt idx="1">
                  <c:v>73.55840823287906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AD-4315-A8CA-7DB5A665AF2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5757696"/>
        <c:axId val="147376384"/>
      </c:barChart>
      <c:catAx>
        <c:axId val="14575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47376384"/>
        <c:crosses val="autoZero"/>
        <c:auto val="1"/>
        <c:lblAlgn val="ctr"/>
        <c:lblOffset val="100"/>
        <c:noMultiLvlLbl val="0"/>
      </c:catAx>
      <c:valAx>
        <c:axId val="14737638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45757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Nazanin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'ایران و سنگاپور'!$Q$2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'ایران و سنگاپور'!$R$1:$AD$1</c:f>
              <c:strCache>
                <c:ptCount val="13"/>
                <c:pt idx="0">
                  <c:v>پیشرفت اجتماعی</c:v>
                </c:pt>
                <c:pt idx="1">
                  <c:v>توسعه انسانی</c:v>
                </c:pt>
                <c:pt idx="2">
                  <c:v>صلح</c:v>
                </c:pt>
                <c:pt idx="3">
                  <c:v>نوآوری</c:v>
                </c:pt>
                <c:pt idx="4">
                  <c:v>حقوق مالکیت</c:v>
                </c:pt>
                <c:pt idx="5">
                  <c:v>حکمرانی</c:v>
                </c:pt>
                <c:pt idx="6">
                  <c:v>سهولت کسب و کار</c:v>
                </c:pt>
                <c:pt idx="7">
                  <c:v>شادی</c:v>
                </c:pt>
                <c:pt idx="8">
                  <c:v>کامیابی</c:v>
                </c:pt>
                <c:pt idx="9">
                  <c:v>بهره وری انرژی</c:v>
                </c:pt>
                <c:pt idx="10">
                  <c:v>دولت غیر شکننده</c:v>
                </c:pt>
                <c:pt idx="11">
                  <c:v>رقابت پذیری </c:v>
                </c:pt>
                <c:pt idx="12">
                  <c:v>محیط زیست</c:v>
                </c:pt>
              </c:strCache>
            </c:strRef>
          </c:cat>
          <c:val>
            <c:numRef>
              <c:f>'ایران و سنگاپور'!$R$2:$AD$2</c:f>
              <c:numCache>
                <c:formatCode>General</c:formatCode>
                <c:ptCount val="13"/>
                <c:pt idx="0">
                  <c:v>59.088697908221178</c:v>
                </c:pt>
                <c:pt idx="1">
                  <c:v>69.094138543516863</c:v>
                </c:pt>
                <c:pt idx="2">
                  <c:v>37.879968823070918</c:v>
                </c:pt>
                <c:pt idx="3">
                  <c:v>32.952380952380949</c:v>
                </c:pt>
                <c:pt idx="4">
                  <c:v>26.544240400667775</c:v>
                </c:pt>
                <c:pt idx="5">
                  <c:v>25.05293901016838</c:v>
                </c:pt>
                <c:pt idx="6">
                  <c:v>57.634730538922156</c:v>
                </c:pt>
                <c:pt idx="7">
                  <c:v>40.159868747376848</c:v>
                </c:pt>
                <c:pt idx="8">
                  <c:v>35.752212389380531</c:v>
                </c:pt>
                <c:pt idx="9">
                  <c:v>16.190552790513426</c:v>
                </c:pt>
                <c:pt idx="10">
                  <c:v>29.652351738241311</c:v>
                </c:pt>
                <c:pt idx="11">
                  <c:v>35.987776030341621</c:v>
                </c:pt>
                <c:pt idx="12">
                  <c:v>42.404006677796325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6B-4545-8102-C7D2B0117BA9}"/>
            </c:ext>
          </c:extLst>
        </c:ser>
        <c:ser>
          <c:idx val="1"/>
          <c:order val="1"/>
          <c:tx>
            <c:strRef>
              <c:f>'ایران و سنگاپور'!$Q$3</c:f>
              <c:strCache>
                <c:ptCount val="1"/>
                <c:pt idx="0">
                  <c:v>سنگاپور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'ایران و سنگاپور'!$R$1:$AD$1</c:f>
              <c:strCache>
                <c:ptCount val="13"/>
                <c:pt idx="0">
                  <c:v>پیشرفت اجتماعی</c:v>
                </c:pt>
                <c:pt idx="1">
                  <c:v>توسعه انسانی</c:v>
                </c:pt>
                <c:pt idx="2">
                  <c:v>صلح</c:v>
                </c:pt>
                <c:pt idx="3">
                  <c:v>نوآوری</c:v>
                </c:pt>
                <c:pt idx="4">
                  <c:v>حقوق مالکیت</c:v>
                </c:pt>
                <c:pt idx="5">
                  <c:v>حکمرانی</c:v>
                </c:pt>
                <c:pt idx="6">
                  <c:v>سهولت کسب و کار</c:v>
                </c:pt>
                <c:pt idx="7">
                  <c:v>شادی</c:v>
                </c:pt>
                <c:pt idx="8">
                  <c:v>کامیابی</c:v>
                </c:pt>
                <c:pt idx="9">
                  <c:v>بهره وری انرژی</c:v>
                </c:pt>
                <c:pt idx="10">
                  <c:v>دولت غیر شکننده</c:v>
                </c:pt>
                <c:pt idx="11">
                  <c:v>رقابت پذیری </c:v>
                </c:pt>
                <c:pt idx="12">
                  <c:v>محیط زیست</c:v>
                </c:pt>
              </c:strCache>
            </c:strRef>
          </c:cat>
          <c:val>
            <c:numRef>
              <c:f>'ایران و سنگاپور'!$R$3:$AD$3</c:f>
              <c:numCache>
                <c:formatCode>General</c:formatCode>
                <c:ptCount val="13"/>
                <c:pt idx="0">
                  <c:v>88.211446545277539</c:v>
                </c:pt>
                <c:pt idx="1">
                  <c:v>96.092362344582583</c:v>
                </c:pt>
                <c:pt idx="2">
                  <c:v>90.530007794232276</c:v>
                </c:pt>
                <c:pt idx="3">
                  <c:v>81.904761904761912</c:v>
                </c:pt>
                <c:pt idx="4">
                  <c:v>96.86143572621036</c:v>
                </c:pt>
                <c:pt idx="5">
                  <c:v>96.10176054176813</c:v>
                </c:pt>
                <c:pt idx="6">
                  <c:v>99.101796407185631</c:v>
                </c:pt>
                <c:pt idx="7">
                  <c:v>72.688770858192342</c:v>
                </c:pt>
                <c:pt idx="8">
                  <c:v>90.704342599646012</c:v>
                </c:pt>
                <c:pt idx="9">
                  <c:v>97.086622038937975</c:v>
                </c:pt>
                <c:pt idx="10">
                  <c:v>88.010025914350322</c:v>
                </c:pt>
                <c:pt idx="11">
                  <c:v>63.767157008507972</c:v>
                </c:pt>
                <c:pt idx="12">
                  <c:v>59.265442404006677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6B-4545-8102-C7D2B0117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6064"/>
        <c:axId val="147378688"/>
      </c:radarChart>
      <c:catAx>
        <c:axId val="341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47378688"/>
        <c:crosses val="autoZero"/>
        <c:auto val="1"/>
        <c:lblAlgn val="ctr"/>
        <c:lblOffset val="100"/>
        <c:noMultiLvlLbl val="0"/>
      </c:catAx>
      <c:valAx>
        <c:axId val="14737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341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Nazanin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'ایران و سنگاپور'!$Q$30</c:f>
              <c:strCache>
                <c:ptCount val="1"/>
                <c:pt idx="0">
                  <c:v>آرمانشهر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'ایران و سنگاپور'!$R$29:$AD$29</c:f>
              <c:strCache>
                <c:ptCount val="13"/>
                <c:pt idx="0">
                  <c:v>پیشرفت اجتماعی</c:v>
                </c:pt>
                <c:pt idx="1">
                  <c:v>توسعه انسانی</c:v>
                </c:pt>
                <c:pt idx="2">
                  <c:v>صلح</c:v>
                </c:pt>
                <c:pt idx="3">
                  <c:v>نوآوری</c:v>
                </c:pt>
                <c:pt idx="4">
                  <c:v>حقوق مالکیت</c:v>
                </c:pt>
                <c:pt idx="5">
                  <c:v>حکمرانی</c:v>
                </c:pt>
                <c:pt idx="6">
                  <c:v>سهولت کسب و کار</c:v>
                </c:pt>
                <c:pt idx="7">
                  <c:v>شادی</c:v>
                </c:pt>
                <c:pt idx="8">
                  <c:v>کامیابی</c:v>
                </c:pt>
                <c:pt idx="9">
                  <c:v>بهره وری انرژی</c:v>
                </c:pt>
                <c:pt idx="10">
                  <c:v>دولت غیر شکننده</c:v>
                </c:pt>
                <c:pt idx="11">
                  <c:v>رقابت پذیری </c:v>
                </c:pt>
                <c:pt idx="12">
                  <c:v>محیط زیست</c:v>
                </c:pt>
              </c:strCache>
            </c:strRef>
          </c:cat>
          <c:val>
            <c:numRef>
              <c:f>'ایران و سنگاپور'!$R$30:$AD$30</c:f>
              <c:numCache>
                <c:formatCode>General</c:formatCode>
                <c:ptCount val="13"/>
                <c:pt idx="0">
                  <c:v>92.73</c:v>
                </c:pt>
                <c:pt idx="1">
                  <c:v>95.7</c:v>
                </c:pt>
                <c:pt idx="2">
                  <c:v>98.05</c:v>
                </c:pt>
                <c:pt idx="3">
                  <c:v>66.099999999999994</c:v>
                </c:pt>
                <c:pt idx="4">
                  <c:v>86.5</c:v>
                </c:pt>
                <c:pt idx="5">
                  <c:v>85.61099999999999</c:v>
                </c:pt>
                <c:pt idx="6">
                  <c:v>86.8</c:v>
                </c:pt>
                <c:pt idx="7">
                  <c:v>78.087000000000003</c:v>
                </c:pt>
                <c:pt idx="8">
                  <c:v>84.4</c:v>
                </c:pt>
                <c:pt idx="9">
                  <c:v>81.299999999999983</c:v>
                </c:pt>
                <c:pt idx="10">
                  <c:v>87.833333333333329</c:v>
                </c:pt>
                <c:pt idx="11">
                  <c:v>84.78</c:v>
                </c:pt>
                <c:pt idx="12">
                  <c:v>82.5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F8-4875-A56B-4FD01FEEBE6E}"/>
            </c:ext>
          </c:extLst>
        </c:ser>
        <c:ser>
          <c:idx val="1"/>
          <c:order val="1"/>
          <c:tx>
            <c:strRef>
              <c:f>'ایران و سنگاپور'!$Q$31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'ایران و سنگاپور'!$R$29:$AD$29</c:f>
              <c:strCache>
                <c:ptCount val="13"/>
                <c:pt idx="0">
                  <c:v>پیشرفت اجتماعی</c:v>
                </c:pt>
                <c:pt idx="1">
                  <c:v>توسعه انسانی</c:v>
                </c:pt>
                <c:pt idx="2">
                  <c:v>صلح</c:v>
                </c:pt>
                <c:pt idx="3">
                  <c:v>نوآوری</c:v>
                </c:pt>
                <c:pt idx="4">
                  <c:v>حقوق مالکیت</c:v>
                </c:pt>
                <c:pt idx="5">
                  <c:v>حکمرانی</c:v>
                </c:pt>
                <c:pt idx="6">
                  <c:v>سهولت کسب و کار</c:v>
                </c:pt>
                <c:pt idx="7">
                  <c:v>شادی</c:v>
                </c:pt>
                <c:pt idx="8">
                  <c:v>کامیابی</c:v>
                </c:pt>
                <c:pt idx="9">
                  <c:v>بهره وری انرژی</c:v>
                </c:pt>
                <c:pt idx="10">
                  <c:v>دولت غیر شکننده</c:v>
                </c:pt>
                <c:pt idx="11">
                  <c:v>رقابت پذیری </c:v>
                </c:pt>
                <c:pt idx="12">
                  <c:v>محیط زیست</c:v>
                </c:pt>
              </c:strCache>
            </c:strRef>
          </c:cat>
          <c:val>
            <c:numRef>
              <c:f>'ایران و سنگاپور'!$R$31:$AD$31</c:f>
              <c:numCache>
                <c:formatCode>General</c:formatCode>
                <c:ptCount val="13"/>
                <c:pt idx="0">
                  <c:v>67.5</c:v>
                </c:pt>
                <c:pt idx="1">
                  <c:v>78.3</c:v>
                </c:pt>
                <c:pt idx="2">
                  <c:v>58.199999999999996</c:v>
                </c:pt>
                <c:pt idx="3">
                  <c:v>30.9</c:v>
                </c:pt>
                <c:pt idx="4">
                  <c:v>42.5</c:v>
                </c:pt>
                <c:pt idx="5">
                  <c:v>27</c:v>
                </c:pt>
                <c:pt idx="6">
                  <c:v>58.5</c:v>
                </c:pt>
                <c:pt idx="7">
                  <c:v>46.72</c:v>
                </c:pt>
                <c:pt idx="8">
                  <c:v>48.1</c:v>
                </c:pt>
                <c:pt idx="9">
                  <c:v>15.090536704505606</c:v>
                </c:pt>
                <c:pt idx="10">
                  <c:v>30.5</c:v>
                </c:pt>
                <c:pt idx="11">
                  <c:v>52.965924687079784</c:v>
                </c:pt>
                <c:pt idx="1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F8-4875-A56B-4FD01FEEBE6E}"/>
            </c:ext>
          </c:extLst>
        </c:ser>
        <c:ser>
          <c:idx val="2"/>
          <c:order val="2"/>
          <c:tx>
            <c:strRef>
              <c:f>'ایران و سنگاپور'!$Q$32</c:f>
              <c:strCache>
                <c:ptCount val="1"/>
                <c:pt idx="0">
                  <c:v>سنگاپور</c:v>
                </c:pt>
              </c:strCache>
            </c:strRef>
          </c:tx>
          <c:spPr>
            <a:ln w="28575" cap="rnd">
              <a:solidFill>
                <a:srgbClr val="DF860F"/>
              </a:solidFill>
              <a:round/>
            </a:ln>
            <a:effectLst/>
          </c:spPr>
          <c:marker>
            <c:symbol val="none"/>
          </c:marker>
          <c:cat>
            <c:strRef>
              <c:f>'ایران و سنگاپور'!$R$29:$AD$29</c:f>
              <c:strCache>
                <c:ptCount val="13"/>
                <c:pt idx="0">
                  <c:v>پیشرفت اجتماعی</c:v>
                </c:pt>
                <c:pt idx="1">
                  <c:v>توسعه انسانی</c:v>
                </c:pt>
                <c:pt idx="2">
                  <c:v>صلح</c:v>
                </c:pt>
                <c:pt idx="3">
                  <c:v>نوآوری</c:v>
                </c:pt>
                <c:pt idx="4">
                  <c:v>حقوق مالکیت</c:v>
                </c:pt>
                <c:pt idx="5">
                  <c:v>حکمرانی</c:v>
                </c:pt>
                <c:pt idx="6">
                  <c:v>سهولت کسب و کار</c:v>
                </c:pt>
                <c:pt idx="7">
                  <c:v>شادی</c:v>
                </c:pt>
                <c:pt idx="8">
                  <c:v>کامیابی</c:v>
                </c:pt>
                <c:pt idx="9">
                  <c:v>بهره وری انرژی</c:v>
                </c:pt>
                <c:pt idx="10">
                  <c:v>دولت غیر شکننده</c:v>
                </c:pt>
                <c:pt idx="11">
                  <c:v>رقابت پذیری </c:v>
                </c:pt>
                <c:pt idx="12">
                  <c:v>محیط زیست</c:v>
                </c:pt>
              </c:strCache>
            </c:strRef>
          </c:cat>
          <c:val>
            <c:numRef>
              <c:f>'ایران و سنگاپور'!$R$32:$AD$32</c:f>
              <c:numCache>
                <c:formatCode>General</c:formatCode>
                <c:ptCount val="13"/>
                <c:pt idx="0">
                  <c:v>85.459999084472656</c:v>
                </c:pt>
                <c:pt idx="1">
                  <c:v>93.5</c:v>
                </c:pt>
                <c:pt idx="2">
                  <c:v>91.975000000000009</c:v>
                </c:pt>
                <c:pt idx="3">
                  <c:v>56.6</c:v>
                </c:pt>
                <c:pt idx="4">
                  <c:v>84.62</c:v>
                </c:pt>
                <c:pt idx="5">
                  <c:v>82.562452000000008</c:v>
                </c:pt>
                <c:pt idx="6">
                  <c:v>86.2</c:v>
                </c:pt>
                <c:pt idx="7">
                  <c:v>63.770999908447266</c:v>
                </c:pt>
                <c:pt idx="8">
                  <c:v>79.147953568800006</c:v>
                </c:pt>
                <c:pt idx="9">
                  <c:v>78.998431410760986</c:v>
                </c:pt>
                <c:pt idx="10">
                  <c:v>78.06150445352884</c:v>
                </c:pt>
                <c:pt idx="11">
                  <c:v>66.772277033228463</c:v>
                </c:pt>
                <c:pt idx="12">
                  <c:v>58.1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F8-4875-A56B-4FD01FEEB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7600"/>
        <c:axId val="147381568"/>
      </c:radarChart>
      <c:catAx>
        <c:axId val="341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47381568"/>
        <c:crosses val="autoZero"/>
        <c:auto val="1"/>
        <c:lblAlgn val="ctr"/>
        <c:lblOffset val="100"/>
        <c:noMultiLvlLbl val="0"/>
      </c:catAx>
      <c:valAx>
        <c:axId val="14738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341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Nazanin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'نمودار مقابسه رتبه ایران'!$B$1</c:f>
              <c:strCache>
                <c:ptCount val="1"/>
                <c:pt idx="0">
                  <c:v>درصد تغییر در رتبه 5 ساله</c:v>
                </c:pt>
              </c:strCache>
            </c:strRef>
          </c:tx>
          <c:invertIfNegative val="0"/>
          <c:cat>
            <c:strRef>
              <c:f>'نمودار مقابسه رتبه ایران'!$A$2:$A$14</c:f>
              <c:strCache>
                <c:ptCount val="13"/>
                <c:pt idx="0">
                  <c:v>شاخص پیشرفت اجتماعی</c:v>
                </c:pt>
                <c:pt idx="1">
                  <c:v>شاخص توسعه انسانی</c:v>
                </c:pt>
                <c:pt idx="2">
                  <c:v>شاخص دولت شکننده</c:v>
                </c:pt>
                <c:pt idx="3">
                  <c:v>شاخص رقابت پذیری</c:v>
                </c:pt>
                <c:pt idx="4">
                  <c:v>شاخص شادی</c:v>
                </c:pt>
                <c:pt idx="5">
                  <c:v>شاخص عملکرد زیست محیطی</c:v>
                </c:pt>
                <c:pt idx="6">
                  <c:v>شاخص کامیابی لگاتوم</c:v>
                </c:pt>
                <c:pt idx="7">
                  <c:v>شاخص حکمرانی</c:v>
                </c:pt>
                <c:pt idx="8">
                  <c:v>شاخص نوآوری</c:v>
                </c:pt>
                <c:pt idx="9">
                  <c:v>شاخص سهولت کسب و کار</c:v>
                </c:pt>
                <c:pt idx="10">
                  <c:v>شاخص حقوق مالکیت</c:v>
                </c:pt>
                <c:pt idx="11">
                  <c:v>شاخص شدت انرژی</c:v>
                </c:pt>
                <c:pt idx="12">
                  <c:v>شاخص صلح</c:v>
                </c:pt>
              </c:strCache>
            </c:strRef>
          </c:cat>
          <c:val>
            <c:numRef>
              <c:f>'نمودار مقابسه رتبه ایران'!$B$2:$B$14</c:f>
              <c:numCache>
                <c:formatCode>General</c:formatCode>
                <c:ptCount val="13"/>
                <c:pt idx="0">
                  <c:v>5.0814814814814788</c:v>
                </c:pt>
                <c:pt idx="1">
                  <c:v>1.5151515151515151</c:v>
                </c:pt>
                <c:pt idx="2">
                  <c:v>5.9259259259259265</c:v>
                </c:pt>
                <c:pt idx="3">
                  <c:v>-0.98015778149653565</c:v>
                </c:pt>
                <c:pt idx="4">
                  <c:v>-7.6692076692076716</c:v>
                </c:pt>
                <c:pt idx="5">
                  <c:v>3.4293552812071337</c:v>
                </c:pt>
                <c:pt idx="6">
                  <c:v>2.459016393442627</c:v>
                </c:pt>
                <c:pt idx="7">
                  <c:v>0.53191489361701949</c:v>
                </c:pt>
                <c:pt idx="8">
                  <c:v>36.608195754716974</c:v>
                </c:pt>
                <c:pt idx="9">
                  <c:v>1.904761904761898</c:v>
                </c:pt>
                <c:pt idx="10">
                  <c:v>7.8711985688729929</c:v>
                </c:pt>
                <c:pt idx="11">
                  <c:v>-13.059715153955995</c:v>
                </c:pt>
                <c:pt idx="12">
                  <c:v>-3.0137477049841013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E5-4074-A09A-DEE4997EF77F}"/>
            </c:ext>
          </c:extLst>
        </c:ser>
        <c:ser>
          <c:idx val="1"/>
          <c:order val="1"/>
          <c:tx>
            <c:strRef>
              <c:f>'نمودار مقابسه رتبه ایران'!$C$1</c:f>
              <c:strCache>
                <c:ptCount val="1"/>
                <c:pt idx="0">
                  <c:v>درصد تغییر در رتبه 10 ساله</c:v>
                </c:pt>
              </c:strCache>
            </c:strRef>
          </c:tx>
          <c:invertIfNegative val="0"/>
          <c:cat>
            <c:strRef>
              <c:f>'نمودار مقابسه رتبه ایران'!$A$2:$A$14</c:f>
              <c:strCache>
                <c:ptCount val="13"/>
                <c:pt idx="0">
                  <c:v>شاخص پیشرفت اجتماعی</c:v>
                </c:pt>
                <c:pt idx="1">
                  <c:v>شاخص توسعه انسانی</c:v>
                </c:pt>
                <c:pt idx="2">
                  <c:v>شاخص دولت شکننده</c:v>
                </c:pt>
                <c:pt idx="3">
                  <c:v>شاخص رقابت پذیری</c:v>
                </c:pt>
                <c:pt idx="4">
                  <c:v>شاخص شادی</c:v>
                </c:pt>
                <c:pt idx="5">
                  <c:v>شاخص عملکرد زیست محیطی</c:v>
                </c:pt>
                <c:pt idx="6">
                  <c:v>شاخص کامیابی لگاتوم</c:v>
                </c:pt>
                <c:pt idx="7">
                  <c:v>شاخص حکمرانی</c:v>
                </c:pt>
                <c:pt idx="8">
                  <c:v>شاخص نوآوری</c:v>
                </c:pt>
                <c:pt idx="9">
                  <c:v>شاخص سهولت کسب و کار</c:v>
                </c:pt>
                <c:pt idx="10">
                  <c:v>شاخص حقوق مالکیت</c:v>
                </c:pt>
                <c:pt idx="11">
                  <c:v>شاخص شدت انرژی</c:v>
                </c:pt>
                <c:pt idx="12">
                  <c:v>شاخص صلح</c:v>
                </c:pt>
              </c:strCache>
            </c:strRef>
          </c:cat>
          <c:val>
            <c:numRef>
              <c:f>'نمودار مقابسه رتبه ایران'!$C$2:$C$14</c:f>
              <c:numCache>
                <c:formatCode>General</c:formatCode>
                <c:ptCount val="13"/>
                <c:pt idx="0" formatCode="0.0">
                  <c:v>7.1449275362318794</c:v>
                </c:pt>
                <c:pt idx="1">
                  <c:v>7.1428571428571423</c:v>
                </c:pt>
                <c:pt idx="2">
                  <c:v>13.397907787679198</c:v>
                </c:pt>
                <c:pt idx="3">
                  <c:v>1.0638297872340454</c:v>
                </c:pt>
                <c:pt idx="4">
                  <c:v>-7.2727272727272627</c:v>
                </c:pt>
                <c:pt idx="5">
                  <c:v>49.206349206349209</c:v>
                </c:pt>
                <c:pt idx="6">
                  <c:v>4.8000000000000078</c:v>
                </c:pt>
                <c:pt idx="7">
                  <c:v>1.8518518518518574</c:v>
                </c:pt>
                <c:pt idx="8">
                  <c:v>40.113384955752217</c:v>
                </c:pt>
                <c:pt idx="9">
                  <c:v>2.7526595744680793</c:v>
                </c:pt>
                <c:pt idx="10">
                  <c:v>6.3357185450208675</c:v>
                </c:pt>
                <c:pt idx="11">
                  <c:v>-17.156081645041354</c:v>
                </c:pt>
                <c:pt idx="12">
                  <c:v>-7.4437627811860834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E5-4074-A09A-DEE4997EF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83360"/>
        <c:axId val="110067008"/>
      </c:barChart>
      <c:catAx>
        <c:axId val="43983360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110067008"/>
        <c:crosses val="autoZero"/>
        <c:auto val="1"/>
        <c:lblAlgn val="ctr"/>
        <c:lblOffset val="1000"/>
        <c:noMultiLvlLbl val="0"/>
      </c:catAx>
      <c:valAx>
        <c:axId val="110067008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439833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val>
            <c:numRef>
              <c:f>'داده های شاخص ها برای ایران'!$Y$6:$AE$6</c:f>
              <c:numCache>
                <c:formatCode>General</c:formatCode>
                <c:ptCount val="7"/>
                <c:pt idx="0">
                  <c:v>27.3</c:v>
                </c:pt>
                <c:pt idx="1">
                  <c:v>26.1</c:v>
                </c:pt>
                <c:pt idx="2">
                  <c:v>28.4</c:v>
                </c:pt>
                <c:pt idx="3">
                  <c:v>30.5</c:v>
                </c:pt>
                <c:pt idx="4">
                  <c:v>32.1</c:v>
                </c:pt>
                <c:pt idx="5">
                  <c:v>33.4</c:v>
                </c:pt>
                <c:pt idx="6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9D-41C4-BF84-A5180183F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708160"/>
        <c:axId val="143192576"/>
      </c:lineChart>
      <c:catAx>
        <c:axId val="1437081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192576"/>
        <c:crosses val="autoZero"/>
        <c:auto val="1"/>
        <c:lblAlgn val="ctr"/>
        <c:lblOffset val="100"/>
        <c:noMultiLvlLbl val="0"/>
      </c:catAx>
      <c:valAx>
        <c:axId val="14319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708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val>
            <c:numRef>
              <c:f>'داده های شاخص ها برای ایران'!$W$7:$AE$7</c:f>
              <c:numCache>
                <c:formatCode>0.00</c:formatCode>
                <c:ptCount val="9"/>
                <c:pt idx="0">
                  <c:v>4.2</c:v>
                </c:pt>
                <c:pt idx="1">
                  <c:v>4.2</c:v>
                </c:pt>
                <c:pt idx="2">
                  <c:v>4.3</c:v>
                </c:pt>
                <c:pt idx="3">
                  <c:v>4.3</c:v>
                </c:pt>
                <c:pt idx="4">
                  <c:v>3.9649999999999999</c:v>
                </c:pt>
                <c:pt idx="5">
                  <c:v>4.24</c:v>
                </c:pt>
                <c:pt idx="6">
                  <c:v>4.5209999999999999</c:v>
                </c:pt>
                <c:pt idx="7">
                  <c:v>4.7480000000000002</c:v>
                </c:pt>
                <c:pt idx="8">
                  <c:v>4.5780000000000003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56-4C55-9597-6E391804D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709184"/>
        <c:axId val="143193152"/>
      </c:lineChart>
      <c:catAx>
        <c:axId val="1437091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193152"/>
        <c:crosses val="autoZero"/>
        <c:auto val="1"/>
        <c:lblAlgn val="ctr"/>
        <c:lblOffset val="100"/>
        <c:noMultiLvlLbl val="0"/>
      </c:catAx>
      <c:valAx>
        <c:axId val="14319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70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val>
            <c:numRef>
              <c:f>'داده های شاخص ها برای ایران'!$H$8:$AD$8</c:f>
              <c:numCache>
                <c:formatCode>0.000</c:formatCode>
                <c:ptCount val="23"/>
                <c:pt idx="0">
                  <c:v>-0.78629318333333342</c:v>
                </c:pt>
                <c:pt idx="2">
                  <c:v>-0.79813813333333339</c:v>
                </c:pt>
                <c:pt idx="4">
                  <c:v>-0.78554558333333346</c:v>
                </c:pt>
                <c:pt idx="6">
                  <c:v>-0.77506008333333343</c:v>
                </c:pt>
                <c:pt idx="7">
                  <c:v>-0.76480626666666662</c:v>
                </c:pt>
                <c:pt idx="8">
                  <c:v>-0.79139366666666666</c:v>
                </c:pt>
                <c:pt idx="9">
                  <c:v>-0.86618990000000007</c:v>
                </c:pt>
                <c:pt idx="10">
                  <c:v>-0.99397305000000002</c:v>
                </c:pt>
                <c:pt idx="11">
                  <c:v>-1.0388792499999999</c:v>
                </c:pt>
                <c:pt idx="12">
                  <c:v>-1.0774076500000001</c:v>
                </c:pt>
                <c:pt idx="13">
                  <c:v>-1.205532</c:v>
                </c:pt>
                <c:pt idx="14">
                  <c:v>-1.2323207333333335</c:v>
                </c:pt>
                <c:pt idx="15">
                  <c:v>-1.1327890666666665</c:v>
                </c:pt>
                <c:pt idx="16">
                  <c:v>-1.0969561166666666</c:v>
                </c:pt>
                <c:pt idx="17">
                  <c:v>-1.1185497666666668</c:v>
                </c:pt>
                <c:pt idx="18">
                  <c:v>-1.0027006999999999</c:v>
                </c:pt>
                <c:pt idx="19">
                  <c:v>-0.91464154999999991</c:v>
                </c:pt>
                <c:pt idx="20">
                  <c:v>-0.82788139999999999</c:v>
                </c:pt>
                <c:pt idx="21">
                  <c:v>-0.85401881666666668</c:v>
                </c:pt>
                <c:pt idx="22">
                  <c:v>-1.0190355333333334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DF-4F63-A033-500161696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709696"/>
        <c:axId val="143194880"/>
      </c:lineChart>
      <c:catAx>
        <c:axId val="1437096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194880"/>
        <c:crosses val="autoZero"/>
        <c:auto val="1"/>
        <c:lblAlgn val="ctr"/>
        <c:lblOffset val="100"/>
        <c:noMultiLvlLbl val="0"/>
      </c:catAx>
      <c:valAx>
        <c:axId val="14319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70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val>
            <c:numRef>
              <c:f>'داده های شاخص ها برای ایران'!$V$10:$AF$10</c:f>
              <c:numCache>
                <c:formatCode>0.0</c:formatCode>
                <c:ptCount val="11"/>
                <c:pt idx="0">
                  <c:v>55.879220000000004</c:v>
                </c:pt>
                <c:pt idx="1">
                  <c:v>56.083820000000003</c:v>
                </c:pt>
                <c:pt idx="2">
                  <c:v>56.172610000000006</c:v>
                </c:pt>
                <c:pt idx="3">
                  <c:v>57.636020000000002</c:v>
                </c:pt>
                <c:pt idx="4">
                  <c:v>56.513220000000004</c:v>
                </c:pt>
                <c:pt idx="5">
                  <c:v>57.301190000000005</c:v>
                </c:pt>
                <c:pt idx="6">
                  <c:v>55.377430000000004</c:v>
                </c:pt>
                <c:pt idx="7">
                  <c:v>55.707860000000004</c:v>
                </c:pt>
                <c:pt idx="8">
                  <c:v>55.696780000000004</c:v>
                </c:pt>
                <c:pt idx="9">
                  <c:v>58.639150000000008</c:v>
                </c:pt>
                <c:pt idx="10">
                  <c:v>58.546580000000006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8E-4199-97EC-ABD59CB01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710720"/>
        <c:axId val="144039936"/>
      </c:lineChart>
      <c:catAx>
        <c:axId val="1437107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039936"/>
        <c:crosses val="autoZero"/>
        <c:auto val="1"/>
        <c:lblAlgn val="ctr"/>
        <c:lblOffset val="100"/>
        <c:noMultiLvlLbl val="0"/>
      </c:catAx>
      <c:valAx>
        <c:axId val="14403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710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val>
            <c:numRef>
              <c:f>'داده های شاخص ها برای ایران'!$Y$11:$AF$11</c:f>
              <c:numCache>
                <c:formatCode>0.0000</c:formatCode>
                <c:ptCount val="8"/>
                <c:pt idx="0">
                  <c:v>4.6429999999999998</c:v>
                </c:pt>
                <c:pt idx="1">
                  <c:v>4.6429999999999998</c:v>
                </c:pt>
                <c:pt idx="2">
                  <c:v>4.6859999999999999</c:v>
                </c:pt>
                <c:pt idx="3">
                  <c:v>4.8129999999999997</c:v>
                </c:pt>
                <c:pt idx="4">
                  <c:v>4.6919999122619602</c:v>
                </c:pt>
                <c:pt idx="5">
                  <c:v>4.7069999999999999</c:v>
                </c:pt>
                <c:pt idx="6">
                  <c:v>4.548</c:v>
                </c:pt>
                <c:pt idx="7">
                  <c:v>4.6723999977111816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9-4550-8531-7793B4B27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711744"/>
        <c:axId val="144041664"/>
      </c:lineChart>
      <c:catAx>
        <c:axId val="1437117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041664"/>
        <c:crosses val="autoZero"/>
        <c:auto val="1"/>
        <c:lblAlgn val="ctr"/>
        <c:lblOffset val="100"/>
        <c:noMultiLvlLbl val="0"/>
      </c:catAx>
      <c:valAx>
        <c:axId val="14404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711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val>
            <c:numRef>
              <c:f>'داده های شاخص ها برای ایران'!$U$12:$AE$12</c:f>
              <c:numCache>
                <c:formatCode>0.0</c:formatCode>
                <c:ptCount val="11"/>
                <c:pt idx="0">
                  <c:v>46.722445038300002</c:v>
                </c:pt>
                <c:pt idx="1">
                  <c:v>45.911202215899998</c:v>
                </c:pt>
                <c:pt idx="2">
                  <c:v>45.645813788600002</c:v>
                </c:pt>
                <c:pt idx="3">
                  <c:v>47.120107835900001</c:v>
                </c:pt>
                <c:pt idx="4">
                  <c:v>47.012178792999997</c:v>
                </c:pt>
                <c:pt idx="5">
                  <c:v>46.958471232100003</c:v>
                </c:pt>
                <c:pt idx="6">
                  <c:v>46.805522070599999</c:v>
                </c:pt>
                <c:pt idx="7">
                  <c:v>47.181525719500002</c:v>
                </c:pt>
                <c:pt idx="8">
                  <c:v>48.046894248800001</c:v>
                </c:pt>
                <c:pt idx="9">
                  <c:v>49.0939676319</c:v>
                </c:pt>
                <c:pt idx="10">
                  <c:v>48.314141859800003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5D-46B3-AA49-6E452E7DC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220672"/>
        <c:axId val="144043392"/>
      </c:lineChart>
      <c:catAx>
        <c:axId val="1442206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043392"/>
        <c:crosses val="autoZero"/>
        <c:auto val="1"/>
        <c:lblAlgn val="ctr"/>
        <c:lblOffset val="100"/>
        <c:noMultiLvlLbl val="0"/>
      </c:catAx>
      <c:valAx>
        <c:axId val="14404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220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18</xdr:row>
      <xdr:rowOff>33338</xdr:rowOff>
    </xdr:from>
    <xdr:to>
      <xdr:col>2</xdr:col>
      <xdr:colOff>600075</xdr:colOff>
      <xdr:row>26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233362</xdr:colOff>
      <xdr:row>18</xdr:row>
      <xdr:rowOff>138112</xdr:rowOff>
    </xdr:from>
    <xdr:to>
      <xdr:col>9</xdr:col>
      <xdr:colOff>85725</xdr:colOff>
      <xdr:row>30</xdr:row>
      <xdr:rowOff>9525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395287</xdr:colOff>
      <xdr:row>18</xdr:row>
      <xdr:rowOff>157162</xdr:rowOff>
    </xdr:from>
    <xdr:to>
      <xdr:col>14</xdr:col>
      <xdr:colOff>285750</xdr:colOff>
      <xdr:row>29</xdr:row>
      <xdr:rowOff>76200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357187</xdr:colOff>
      <xdr:row>18</xdr:row>
      <xdr:rowOff>157162</xdr:rowOff>
    </xdr:from>
    <xdr:to>
      <xdr:col>19</xdr:col>
      <xdr:colOff>28575</xdr:colOff>
      <xdr:row>29</xdr:row>
      <xdr:rowOff>104775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80962</xdr:colOff>
      <xdr:row>18</xdr:row>
      <xdr:rowOff>71437</xdr:rowOff>
    </xdr:from>
    <xdr:to>
      <xdr:col>23</xdr:col>
      <xdr:colOff>571500</xdr:colOff>
      <xdr:row>29</xdr:row>
      <xdr:rowOff>47625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252412</xdr:colOff>
      <xdr:row>30</xdr:row>
      <xdr:rowOff>42862</xdr:rowOff>
    </xdr:from>
    <xdr:to>
      <xdr:col>9</xdr:col>
      <xdr:colOff>47625</xdr:colOff>
      <xdr:row>42</xdr:row>
      <xdr:rowOff>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14287</xdr:colOff>
      <xdr:row>18</xdr:row>
      <xdr:rowOff>61912</xdr:rowOff>
    </xdr:from>
    <xdr:to>
      <xdr:col>29</xdr:col>
      <xdr:colOff>19050</xdr:colOff>
      <xdr:row>31</xdr:row>
      <xdr:rowOff>28575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138112</xdr:colOff>
      <xdr:row>30</xdr:row>
      <xdr:rowOff>42863</xdr:rowOff>
    </xdr:from>
    <xdr:to>
      <xdr:col>14</xdr:col>
      <xdr:colOff>85725</xdr:colOff>
      <xdr:row>42</xdr:row>
      <xdr:rowOff>57151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29</xdr:col>
      <xdr:colOff>176212</xdr:colOff>
      <xdr:row>19</xdr:row>
      <xdr:rowOff>71437</xdr:rowOff>
    </xdr:from>
    <xdr:to>
      <xdr:col>34</xdr:col>
      <xdr:colOff>190500</xdr:colOff>
      <xdr:row>30</xdr:row>
      <xdr:rowOff>114300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27</xdr:row>
      <xdr:rowOff>119062</xdr:rowOff>
    </xdr:from>
    <xdr:to>
      <xdr:col>2</xdr:col>
      <xdr:colOff>438150</xdr:colOff>
      <xdr:row>39</xdr:row>
      <xdr:rowOff>9525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300037</xdr:colOff>
      <xdr:row>30</xdr:row>
      <xdr:rowOff>109537</xdr:rowOff>
    </xdr:from>
    <xdr:to>
      <xdr:col>21</xdr:col>
      <xdr:colOff>571500</xdr:colOff>
      <xdr:row>41</xdr:row>
      <xdr:rowOff>85725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290512</xdr:colOff>
      <xdr:row>31</xdr:row>
      <xdr:rowOff>176212</xdr:rowOff>
    </xdr:from>
    <xdr:to>
      <xdr:col>28</xdr:col>
      <xdr:colOff>85725</xdr:colOff>
      <xdr:row>44</xdr:row>
      <xdr:rowOff>9525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29</xdr:col>
      <xdr:colOff>233362</xdr:colOff>
      <xdr:row>33</xdr:row>
      <xdr:rowOff>80962</xdr:rowOff>
    </xdr:from>
    <xdr:to>
      <xdr:col>35</xdr:col>
      <xdr:colOff>438150</xdr:colOff>
      <xdr:row>45</xdr:row>
      <xdr:rowOff>66675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285750</xdr:colOff>
      <xdr:row>4</xdr:row>
      <xdr:rowOff>28575</xdr:rowOff>
    </xdr:from>
    <xdr:to>
      <xdr:col>25</xdr:col>
      <xdr:colOff>19050</xdr:colOff>
      <xdr:row>16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71436</xdr:colOff>
      <xdr:row>19</xdr:row>
      <xdr:rowOff>38099</xdr:rowOff>
    </xdr:from>
    <xdr:to>
      <xdr:col>11</xdr:col>
      <xdr:colOff>133350</xdr:colOff>
      <xdr:row>39</xdr:row>
      <xdr:rowOff>66674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247649</xdr:colOff>
      <xdr:row>38</xdr:row>
      <xdr:rowOff>142875</xdr:rowOff>
    </xdr:from>
    <xdr:to>
      <xdr:col>11</xdr:col>
      <xdr:colOff>133350</xdr:colOff>
      <xdr:row>58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428624</xdr:colOff>
      <xdr:row>59</xdr:row>
      <xdr:rowOff>76199</xdr:rowOff>
    </xdr:from>
    <xdr:to>
      <xdr:col>13</xdr:col>
      <xdr:colOff>266699</xdr:colOff>
      <xdr:row>78</xdr:row>
      <xdr:rowOff>161924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47625</xdr:colOff>
      <xdr:row>84</xdr:row>
      <xdr:rowOff>133350</xdr:rowOff>
    </xdr:from>
    <xdr:to>
      <xdr:col>9</xdr:col>
      <xdr:colOff>182219</xdr:colOff>
      <xdr:row>100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171449</xdr:colOff>
      <xdr:row>5</xdr:row>
      <xdr:rowOff>90485</xdr:rowOff>
    </xdr:from>
    <xdr:to>
      <xdr:col>29</xdr:col>
      <xdr:colOff>476250</xdr:colOff>
      <xdr:row>34</xdr:row>
      <xdr:rowOff>104774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22489</xdr:colOff>
      <xdr:row>23</xdr:row>
      <xdr:rowOff>123266</xdr:rowOff>
    </xdr:from>
    <xdr:to>
      <xdr:col>15</xdr:col>
      <xdr:colOff>392203</xdr:colOff>
      <xdr:row>39</xdr:row>
      <xdr:rowOff>156882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593631</xdr:colOff>
      <xdr:row>49</xdr:row>
      <xdr:rowOff>158282</xdr:rowOff>
    </xdr:from>
    <xdr:to>
      <xdr:col>11</xdr:col>
      <xdr:colOff>198344</xdr:colOff>
      <xdr:row>66</xdr:row>
      <xdr:rowOff>29695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109536</xdr:colOff>
      <xdr:row>40</xdr:row>
      <xdr:rowOff>109536</xdr:rowOff>
    </xdr:from>
    <xdr:to>
      <xdr:col>29</xdr:col>
      <xdr:colOff>0</xdr:colOff>
      <xdr:row>64</xdr:row>
      <xdr:rowOff>57150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476249</xdr:colOff>
      <xdr:row>69</xdr:row>
      <xdr:rowOff>176210</xdr:rowOff>
    </xdr:from>
    <xdr:to>
      <xdr:col>28</xdr:col>
      <xdr:colOff>133350</xdr:colOff>
      <xdr:row>91</xdr:row>
      <xdr:rowOff>142874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133349</xdr:colOff>
      <xdr:row>21</xdr:row>
      <xdr:rowOff>85725</xdr:rowOff>
    </xdr:from>
    <xdr:to>
      <xdr:col>39</xdr:col>
      <xdr:colOff>542924</xdr:colOff>
      <xdr:row>36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257174</xdr:colOff>
      <xdr:row>4</xdr:row>
      <xdr:rowOff>42861</xdr:rowOff>
    </xdr:from>
    <xdr:to>
      <xdr:col>25</xdr:col>
      <xdr:colOff>590549</xdr:colOff>
      <xdr:row>25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147637</xdr:colOff>
      <xdr:row>20</xdr:row>
      <xdr:rowOff>185736</xdr:rowOff>
    </xdr:from>
    <xdr:to>
      <xdr:col>10</xdr:col>
      <xdr:colOff>171450</xdr:colOff>
      <xdr:row>41</xdr:row>
      <xdr:rowOff>9524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9525</xdr:colOff>
      <xdr:row>33</xdr:row>
      <xdr:rowOff>157162</xdr:rowOff>
    </xdr:from>
    <xdr:to>
      <xdr:col>27</xdr:col>
      <xdr:colOff>9525</xdr:colOff>
      <xdr:row>53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3</xdr:row>
      <xdr:rowOff>147637</xdr:rowOff>
    </xdr:from>
    <xdr:to>
      <xdr:col>26</xdr:col>
      <xdr:colOff>76200</xdr:colOff>
      <xdr:row>26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409576</xdr:colOff>
      <xdr:row>20</xdr:row>
      <xdr:rowOff>52387</xdr:rowOff>
    </xdr:from>
    <xdr:to>
      <xdr:col>10</xdr:col>
      <xdr:colOff>295276</xdr:colOff>
      <xdr:row>38</xdr:row>
      <xdr:rowOff>171450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109536</xdr:colOff>
      <xdr:row>32</xdr:row>
      <xdr:rowOff>138111</xdr:rowOff>
    </xdr:from>
    <xdr:to>
      <xdr:col>25</xdr:col>
      <xdr:colOff>590549</xdr:colOff>
      <xdr:row>55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314324</xdr:colOff>
      <xdr:row>4</xdr:row>
      <xdr:rowOff>185737</xdr:rowOff>
    </xdr:from>
    <xdr:to>
      <xdr:col>26</xdr:col>
      <xdr:colOff>180975</xdr:colOff>
      <xdr:row>28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23812</xdr:colOff>
      <xdr:row>20</xdr:row>
      <xdr:rowOff>100012</xdr:rowOff>
    </xdr:from>
    <xdr:to>
      <xdr:col>9</xdr:col>
      <xdr:colOff>600075</xdr:colOff>
      <xdr:row>38</xdr:row>
      <xdr:rowOff>123825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38099</xdr:colOff>
      <xdr:row>35</xdr:row>
      <xdr:rowOff>23811</xdr:rowOff>
    </xdr:from>
    <xdr:to>
      <xdr:col>26</xdr:col>
      <xdr:colOff>390524</xdr:colOff>
      <xdr:row>57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252412</xdr:colOff>
      <xdr:row>20</xdr:row>
      <xdr:rowOff>166687</xdr:rowOff>
    </xdr:from>
    <xdr:to>
      <xdr:col>10</xdr:col>
      <xdr:colOff>9525</xdr:colOff>
      <xdr:row>38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261937</xdr:colOff>
      <xdr:row>5</xdr:row>
      <xdr:rowOff>52386</xdr:rowOff>
    </xdr:from>
    <xdr:to>
      <xdr:col>26</xdr:col>
      <xdr:colOff>314325</xdr:colOff>
      <xdr:row>27</xdr:row>
      <xdr:rowOff>47624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404812</xdr:colOff>
      <xdr:row>32</xdr:row>
      <xdr:rowOff>176211</xdr:rowOff>
    </xdr:from>
    <xdr:to>
      <xdr:col>26</xdr:col>
      <xdr:colOff>514350</xdr:colOff>
      <xdr:row>54</xdr:row>
      <xdr:rowOff>66674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546642</xdr:colOff>
      <xdr:row>0</xdr:row>
      <xdr:rowOff>476250</xdr:rowOff>
    </xdr:from>
    <xdr:to>
      <xdr:col>15</xdr:col>
      <xdr:colOff>66674</xdr:colOff>
      <xdr:row>16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62;&#1608;&#1740;&#1588;%20&#1601;&#1705;&#1585;&#1740;%20&#1578;&#1608;&#1587;&#1593;&#1607;\&#1605;&#1593;&#1575;&#1608;&#1606;&#1578;%20&#1605;&#1591;&#1575;&#1604;&#1593;&#1575;&#1578;\&#1576;&#1585;&#1606;&#1575;&#1605;&#1607;%20&#1607;&#1575;&#1740;%20&#1576;&#1582;&#1588;%20&#1605;&#1591;&#1575;&#1604;&#1593;&#1575;&#1578;\&#1588;&#1575;&#1582;&#1589;%20&#1587;&#1575;&#1586;&#1740;%20&#1578;&#1608;&#1587;&#1593;&#1607;\text\16\&#1601;&#1589;&#1604;%20&#1607;&#1575;&#1740;%20&#1606;&#1607;&#1575;&#1740;&#1740;%2020-06-99\&#1578;&#1608;&#1587;&#1593;&#1607;%20&#1575;&#1740;&#1585;&#1575;&#1606;%20&#1583;&#1585;%20&#1740;&#1705;%20&#1606;&#1711;&#1575;&#1607;\&#1705;&#1604;%20&#1588;&#1575;&#1582;&#1589;%20&#1607;&#1575;&#1740;%20&#1581;&#1705;&#1605;&#1585;&#1575;&#1606;&#174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62;&#1608;&#1740;&#1588;%20&#1601;&#1705;&#1585;&#1740;%20&#1578;&#1608;&#1587;&#1593;&#1607;\&#1605;&#1593;&#1575;&#1608;&#1606;&#1578;%20&#1605;&#1591;&#1575;&#1604;&#1593;&#1575;&#1578;\&#1576;&#1585;&#1606;&#1575;&#1605;&#1607;%20&#1607;&#1575;&#1740;%20&#1576;&#1582;&#1588;%20&#1605;&#1591;&#1575;&#1604;&#1593;&#1575;&#1578;\&#1588;&#1575;&#1582;&#1589;%20&#1587;&#1575;&#1586;&#1740;%20&#1578;&#1608;&#1587;&#1593;&#1607;\text\16\&#1601;&#1589;&#1604;%20&#1607;&#1575;&#1740;%20&#1606;&#1607;&#1575;&#1740;&#1740;%2020-06-99\&#1578;&#1608;&#1587;&#1593;&#1607;%20&#1575;&#1740;&#1585;&#1575;&#1606;%20&#1583;&#1585;%20&#1740;&#1705;%20&#1606;&#1711;&#1575;&#1607;\&#1588;&#1575;&#1582;&#1589;%20&#1662;&#1740;&#1588;&#1585;&#1601;&#1578;%20&#1575;&#1580;&#1578;&#1605;&#1575;&#1593;&#1740;%20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62;&#1608;&#1740;&#1588;%20&#1601;&#1705;&#1585;&#1740;%20&#1578;&#1608;&#1587;&#1593;&#1607;\&#1605;&#1593;&#1575;&#1608;&#1606;&#1578;%20&#1605;&#1591;&#1575;&#1604;&#1593;&#1575;&#1578;\&#1576;&#1585;&#1606;&#1575;&#1605;&#1607;%20&#1607;&#1575;&#1740;%20&#1576;&#1582;&#1588;%20&#1605;&#1591;&#1575;&#1604;&#1593;&#1575;&#1578;\&#1588;&#1575;&#1582;&#1589;%20&#1587;&#1575;&#1586;&#1740;%20&#1578;&#1608;&#1587;&#1593;&#1607;\text\16\&#1601;&#1589;&#1604;%20&#1607;&#1575;&#1740;%20&#1606;&#1607;&#1575;&#1740;&#1740;%2020-06-99\&#1578;&#1608;&#1587;&#1593;&#1607;%20&#1575;&#1740;&#1585;&#1575;&#1606;%20&#1583;&#1585;%20&#1740;&#1705;%20&#1606;&#1711;&#1575;&#1607;\&#1583;&#1575;&#1583;&#1607;%20&#1607;&#1575;&#1740;%20&#1588;&#1583;&#1578;%20&#1575;&#1606;&#1585;&#1688;&#1740;%20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62;&#1608;&#1740;&#1588;%20&#1601;&#1705;&#1585;&#1740;%20&#1578;&#1608;&#1587;&#1593;&#1607;\&#1605;&#1593;&#1575;&#1608;&#1606;&#1578;%20&#1605;&#1591;&#1575;&#1604;&#1593;&#1575;&#1578;\&#1576;&#1585;&#1606;&#1575;&#1605;&#1607;%20&#1607;&#1575;&#1740;%20&#1576;&#1582;&#1588;%20&#1605;&#1591;&#1575;&#1604;&#1593;&#1575;&#1578;\&#1588;&#1575;&#1582;&#1589;%20&#1587;&#1575;&#1586;&#1740;%20&#1578;&#1608;&#1587;&#1593;&#1607;\text\16\&#1601;&#1589;&#1604;%20&#1607;&#1575;&#1740;%20&#1606;&#1607;&#1575;&#1740;&#1740;%2020-06-99\&#1578;&#1608;&#1587;&#1593;&#1607;%20&#1575;&#1740;&#1585;&#1575;&#1606;%20&#1583;&#1585;%20&#1740;&#1705;%20&#1606;&#1711;&#1575;&#1607;\&#1583;&#1575;&#1583;&#1607;%20&#1607;&#1575;&#1740;%20&#1588;&#1575;&#1582;&#1589;%20&#1589;&#1604;&#1581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62;&#1608;&#1740;&#1588;%20&#1601;&#1705;&#1585;&#1740;%20&#1578;&#1608;&#1587;&#1593;&#1607;\&#1605;&#1593;&#1575;&#1608;&#1606;&#1578;%20&#1605;&#1591;&#1575;&#1604;&#1593;&#1575;&#1578;\&#1576;&#1585;&#1606;&#1575;&#1605;&#1607;%20&#1607;&#1575;&#1740;%20&#1576;&#1582;&#1588;%20&#1605;&#1591;&#1575;&#1604;&#1593;&#1575;&#1578;\&#1588;&#1575;&#1582;&#1589;%20&#1587;&#1575;&#1586;&#1740;%20&#1578;&#1608;&#1587;&#1593;&#1607;\text\16\&#1601;&#1589;&#1604;%20&#1607;&#1575;&#1740;%20&#1606;&#1607;&#1575;&#1740;&#1740;%2020-06-99\&#1578;&#1608;&#1587;&#1593;&#1607;%20&#1575;&#1740;&#1585;&#1575;&#1606;%20&#1583;&#1585;%20&#1740;&#1705;%20&#1606;&#1711;&#1575;&#1607;\&#1581;&#1602;&#1608;&#1602;%20&#1605;&#1575;&#1604;&#1705;&#1740;&#157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62;&#1608;&#1740;&#1588;%20&#1601;&#1705;&#1585;&#1740;%20&#1578;&#1608;&#1587;&#1593;&#1607;\&#1605;&#1593;&#1575;&#1608;&#1606;&#1578;%20&#1605;&#1591;&#1575;&#1604;&#1593;&#1575;&#1578;\&#1576;&#1585;&#1606;&#1575;&#1605;&#1607;%20&#1607;&#1575;&#1740;%20&#1576;&#1582;&#1588;%20&#1605;&#1591;&#1575;&#1604;&#1593;&#1575;&#1578;\&#1588;&#1575;&#1582;&#1589;%20&#1587;&#1575;&#1586;&#1740;%20&#1578;&#1608;&#1587;&#1593;&#1607;\text\16\&#1601;&#1589;&#1604;%20&#1607;&#1575;&#1740;%20&#1606;&#1607;&#1575;&#1740;&#1740;%2020-06-99\&#1578;&#1608;&#1587;&#1593;&#1607;%20&#1575;&#1740;&#1585;&#1575;&#1606;%20&#1583;&#1585;%20&#1740;&#1705;%20&#1606;&#1711;&#1575;&#1607;\&#1705;&#1604;%20&#1588;&#1575;&#1582;&#1589;%20&#1587;&#1607;&#1608;&#1604;&#1578;%20&#1705;&#1587;&#1576;%20&#1608;%20&#1705;&#1575;&#158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62;&#1608;&#1740;&#1588;%20&#1601;&#1705;&#1585;&#1740;%20&#1578;&#1608;&#1587;&#1593;&#1607;\&#1605;&#1593;&#1575;&#1608;&#1606;&#1578;%20&#1605;&#1591;&#1575;&#1604;&#1593;&#1575;&#1578;\&#1576;&#1585;&#1606;&#1575;&#1605;&#1607;%20&#1607;&#1575;&#1740;%20&#1576;&#1582;&#1588;%20&#1605;&#1591;&#1575;&#1604;&#1593;&#1575;&#1578;\&#1588;&#1575;&#1582;&#1589;%20&#1587;&#1575;&#1586;&#1740;%20&#1578;&#1608;&#1587;&#1593;&#1607;\text\16\&#1601;&#1589;&#1604;%20&#1607;&#1575;&#1740;%20&#1606;&#1607;&#1575;&#1740;&#1740;%2020-06-99\&#1578;&#1608;&#1587;&#1593;&#1607;%20&#1575;&#1740;&#1585;&#1575;&#1606;%20&#1583;&#1585;%20&#1740;&#1705;%20&#1606;&#1711;&#1575;&#1607;\&#1588;&#1575;&#1582;&#1589;%20&#1705;&#1587;&#1576;%20&#1608;%20&#1705;&#1575;&#158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62;&#1608;&#1740;&#1588;%20&#1601;&#1705;&#1585;&#1740;%20&#1578;&#1608;&#1587;&#1593;&#1607;\&#1605;&#1593;&#1575;&#1608;&#1606;&#1578;%20&#1605;&#1591;&#1575;&#1604;&#1593;&#1575;&#1578;\&#1576;&#1585;&#1606;&#1575;&#1605;&#1607;%20&#1607;&#1575;&#1740;%20&#1576;&#1582;&#1588;%20&#1605;&#1591;&#1575;&#1604;&#1593;&#1575;&#1578;\&#1588;&#1575;&#1582;&#1589;%20&#1587;&#1575;&#1586;&#1740;%20&#1578;&#1608;&#1587;&#1593;&#1607;\text\16\&#1601;&#1589;&#1604;%20&#1607;&#1575;&#1740;%20&#1606;&#1607;&#1575;&#1740;&#1740;%2020-06-99\&#1578;&#1608;&#1587;&#1593;&#1607;%20&#1575;&#1740;&#1585;&#1575;&#1606;%20&#1583;&#1585;%20&#1740;&#1705;%20&#1606;&#1711;&#1575;&#1607;\&#1588;&#1575;&#1582;&#1589;%20&#1606;&#1608;&#1575;&#1619;&#1608;&#1585;&#174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62;&#1608;&#1740;&#1588;%20&#1601;&#1705;&#1585;&#1740;%20&#1578;&#1608;&#1587;&#1593;&#1607;\&#1605;&#1593;&#1575;&#1608;&#1606;&#1578;%20&#1605;&#1591;&#1575;&#1604;&#1593;&#1575;&#1578;\&#1576;&#1585;&#1606;&#1575;&#1605;&#1607;%20&#1607;&#1575;&#1740;%20&#1576;&#1582;&#1588;%20&#1605;&#1591;&#1575;&#1604;&#1593;&#1575;&#1578;\&#1588;&#1575;&#1582;&#1589;%20&#1587;&#1575;&#1586;&#1740;%20&#1578;&#1608;&#1587;&#1593;&#1607;\text\16\&#1601;&#1589;&#1604;%20&#1607;&#1575;&#1740;%20&#1606;&#1607;&#1575;&#1740;&#1740;%2020-06-99\&#1578;&#1608;&#1587;&#1593;&#1607;%20&#1575;&#1740;&#1585;&#1575;&#1606;%20&#1583;&#1585;%20&#1740;&#1705;%20&#1606;&#1711;&#1575;&#1607;\&#1588;&#1575;&#1582;&#1589;%20&#1705;&#1575;&#1605;&#1740;&#1575;&#1576;&#1740;%20&#1604;&#1711;&#1575;&#1578;&#1608;&#16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62;&#1608;&#1740;&#1588;%20&#1601;&#1705;&#1585;&#1740;%20&#1578;&#1608;&#1587;&#1593;&#1607;\&#1605;&#1593;&#1575;&#1608;&#1606;&#1578;%20&#1605;&#1591;&#1575;&#1604;&#1593;&#1575;&#1578;\&#1576;&#1585;&#1606;&#1575;&#1605;&#1607;%20&#1607;&#1575;&#1740;%20&#1576;&#1582;&#1588;%20&#1605;&#1591;&#1575;&#1604;&#1593;&#1575;&#1578;\&#1588;&#1575;&#1582;&#1589;%20&#1587;&#1575;&#1586;&#1740;%20&#1578;&#1608;&#1587;&#1593;&#1607;\text\16\&#1601;&#1589;&#1604;%20&#1607;&#1575;&#1740;%20&#1606;&#1607;&#1575;&#1740;&#1740;%2020-06-99\&#1578;&#1608;&#1587;&#1593;&#1607;%20&#1575;&#1740;&#1585;&#1575;&#1606;%20&#1583;&#1585;%20&#1740;&#1705;%20&#1606;&#1711;&#1575;&#1607;\&#1588;&#1575;&#1582;&#1589;%20&#1593;&#1605;&#1604;&#1705;&#1585;&#1583;%20&#1586;&#1740;&#1587;&#1578;%20&#1605;&#1581;&#1740;&#1591;&#1740;%20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62;&#1608;&#1740;&#1588;%20&#1601;&#1705;&#1585;&#1740;%20&#1578;&#1608;&#1587;&#1593;&#1607;\&#1605;&#1593;&#1575;&#1608;&#1606;&#1578;%20&#1605;&#1591;&#1575;&#1604;&#1593;&#1575;&#1578;\&#1576;&#1585;&#1606;&#1575;&#1605;&#1607;%20&#1607;&#1575;&#1740;%20&#1576;&#1582;&#1588;%20&#1605;&#1591;&#1575;&#1604;&#1593;&#1575;&#1578;\&#1588;&#1575;&#1582;&#1589;%20&#1587;&#1575;&#1586;&#1740;%20&#1578;&#1608;&#1587;&#1593;&#1607;\text\16\&#1601;&#1589;&#1604;%20&#1607;&#1575;&#1740;%20&#1606;&#1607;&#1575;&#1740;&#1740;%2020-06-99\&#1578;&#1608;&#1587;&#1593;&#1607;%20&#1575;&#1740;&#1585;&#1575;&#1606;%20&#1583;&#1585;%20&#1740;&#1705;%20&#1606;&#1711;&#1575;&#1607;\&#1588;&#1575;&#1582;&#1589;%20&#1588;&#1575;&#1583;&#1740;%20&#1580;&#1583;&#1740;&#1583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62;&#1608;&#1740;&#1588;%20&#1601;&#1705;&#1585;&#1740;%20&#1578;&#1608;&#1587;&#1593;&#1607;\&#1605;&#1593;&#1575;&#1608;&#1606;&#1578;%20&#1605;&#1591;&#1575;&#1604;&#1593;&#1575;&#1578;\&#1576;&#1585;&#1606;&#1575;&#1605;&#1607;%20&#1607;&#1575;&#1740;%20&#1576;&#1582;&#1588;%20&#1605;&#1591;&#1575;&#1604;&#1593;&#1575;&#1578;\&#1588;&#1575;&#1582;&#1589;%20&#1587;&#1575;&#1586;&#1740;%20&#1578;&#1608;&#1587;&#1593;&#1607;\text\16\&#1601;&#1589;&#1604;%20&#1607;&#1575;&#1740;%20&#1606;&#1607;&#1575;&#1740;&#1740;%2020-06-99\&#1578;&#1608;&#1587;&#1593;&#1607;%20&#1575;&#1740;&#1585;&#1575;&#1606;%20&#1583;&#1585;%20&#1740;&#1705;%20&#1606;&#1711;&#1575;&#1607;\&#1588;&#1575;&#1582;&#1589;%20&#1585;&#1602;&#1575;&#1576;&#1578;%20&#1662;&#1584;&#1740;&#1585;&#1740;%20&#1580;&#1607;&#1575;&#1606;&#174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62;&#1608;&#1740;&#1588;%20&#1601;&#1705;&#1585;&#1740;%20&#1578;&#1608;&#1587;&#1593;&#1607;\&#1605;&#1593;&#1575;&#1608;&#1606;&#1578;%20&#1605;&#1591;&#1575;&#1604;&#1593;&#1575;&#1578;\&#1576;&#1585;&#1606;&#1575;&#1605;&#1607;%20&#1607;&#1575;&#1740;%20&#1576;&#1582;&#1588;%20&#1605;&#1591;&#1575;&#1604;&#1593;&#1575;&#1578;\&#1588;&#1575;&#1582;&#1589;%20&#1587;&#1575;&#1586;&#1740;%20&#1578;&#1608;&#1587;&#1593;&#1607;\text\16\&#1601;&#1589;&#1604;%20&#1607;&#1575;&#1740;%20&#1606;&#1607;&#1575;&#1740;&#1740;%2020-06-99\&#1578;&#1608;&#1587;&#1593;&#1607;%20&#1575;&#1740;&#1585;&#1575;&#1606;%20&#1583;&#1585;%20&#1740;&#1705;%20&#1606;&#1711;&#1575;&#1607;\&#1588;&#1575;&#1582;&#1589;%20&#1578;&#1608;&#1587;&#1593;&#1607;%20&#1575;&#1606;&#1587;&#1575;&#1606;&#1740;%20&#1580;&#1583;&#1740;&#15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شاخص کل"/>
      <sheetName val="Sheet1"/>
      <sheetName val="درصد تغییر"/>
      <sheetName val="رتبه بندی شاخص کل"/>
      <sheetName val="دوتا بالا و پایین"/>
      <sheetName val="کشورهای نفتی"/>
      <sheetName val="نوظهور"/>
      <sheetName val="Regulatory Quality"/>
      <sheetName val="Rule of Law"/>
      <sheetName val="Sheet3"/>
      <sheetName val="Sheet4"/>
      <sheetName val="Control of Corruption"/>
      <sheetName val="Voice and Accountability"/>
      <sheetName val="Political Stability "/>
      <sheetName val="Government Effectiveness"/>
      <sheetName val="Sheet2"/>
    </sheetNames>
    <sheetDataSet>
      <sheetData sheetId="0"/>
      <sheetData sheetId="1">
        <row r="5">
          <cell r="Z5">
            <v>-0.91998106666666657</v>
          </cell>
        </row>
      </sheetData>
      <sheetData sheetId="2"/>
      <sheetData sheetId="3"/>
      <sheetData sheetId="4"/>
      <sheetData sheetId="5"/>
      <sheetData sheetId="6">
        <row r="16">
          <cell r="B16">
            <v>-0.60702019133333329</v>
          </cell>
        </row>
      </sheetData>
      <sheetData sheetId="7">
        <row r="13">
          <cell r="S13">
            <v>-0.11729488095238097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NOTES"/>
      <sheetName val="2019"/>
      <sheetName val="2018"/>
      <sheetName val="2017"/>
      <sheetName val="2016"/>
      <sheetName val="2015"/>
      <sheetName val="2014"/>
      <sheetName val="Definitions"/>
      <sheetName val="ایران"/>
      <sheetName val="بهترین و بدترین"/>
      <sheetName val="کشورهای نوظهور"/>
      <sheetName val="کشورهای نفتی"/>
      <sheetName val="بالا و پایین"/>
      <sheetName val="رشد 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7">
          <cell r="D17">
            <v>63.655999999999992</v>
          </cell>
        </row>
      </sheetData>
      <sheetData sheetId="9"/>
      <sheetData sheetId="10">
        <row r="12">
          <cell r="B12">
            <v>68.482285714285723</v>
          </cell>
        </row>
      </sheetData>
      <sheetData sheetId="11">
        <row r="12">
          <cell r="B12">
            <v>60.603714285714283</v>
          </cell>
        </row>
      </sheetData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y intensity"/>
      <sheetName val="مقایسه شدت انرژی"/>
      <sheetName val="کل داده ها"/>
      <sheetName val="Sheet1"/>
      <sheetName val="بهترین و بدترین"/>
      <sheetName val="میاتگین جهانی و ایران"/>
      <sheetName val="نفتی"/>
      <sheetName val="اسلامی"/>
      <sheetName val="تولید به ازای انرژی"/>
      <sheetName val="سهم منابع طبیعی از تولید"/>
      <sheetName val="شدت انرژی آژانس"/>
      <sheetName val="رتبه ایران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Y1">
            <v>4.948355268260201</v>
          </cell>
          <cell r="AB1">
            <v>7.3277365669756707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یران"/>
      <sheetName val="ترخ رشد"/>
      <sheetName val="بهترین کشورها"/>
      <sheetName val="بدترین کشورها"/>
      <sheetName val="کشورهای نوظهور"/>
      <sheetName val="کشورهای نفتی"/>
      <sheetName val="بالا و پایین"/>
    </sheetNames>
    <sheetDataSet>
      <sheetData sheetId="0">
        <row r="3">
          <cell r="C3">
            <v>2.4805999999999999</v>
          </cell>
        </row>
      </sheetData>
      <sheetData sheetId="1"/>
      <sheetData sheetId="2"/>
      <sheetData sheetId="3"/>
      <sheetData sheetId="4">
        <row r="13">
          <cell r="B13">
            <v>2.4500857142857142</v>
          </cell>
        </row>
      </sheetData>
      <sheetData sheetId="5">
        <row r="17">
          <cell r="B17">
            <v>2.3842181818181816</v>
          </cell>
        </row>
      </sheetData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7"/>
      <sheetName val="Sheet2"/>
      <sheetName val="Sheet3"/>
      <sheetName val="Sheet4"/>
      <sheetName val="Sheet5"/>
      <sheetName val="Sheet6"/>
      <sheetName val="رتبه کشورها در سال 2015"/>
    </sheetNames>
    <sheetDataSet>
      <sheetData sheetId="0"/>
      <sheetData sheetId="1">
        <row r="3">
          <cell r="N3">
            <v>4.410400000000001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رتبه کل کشورها"/>
      <sheetName val="بهترین کشورها"/>
      <sheetName val="بدترین کشورها"/>
      <sheetName val="ایران سری زمانی"/>
      <sheetName val="کشورهای نوظهور"/>
      <sheetName val="کشورهای نفتی"/>
      <sheetName val="کشور بالا و پایین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4">
          <cell r="B14">
            <v>69.47160371428572</v>
          </cell>
        </row>
      </sheetData>
      <sheetData sheetId="5">
        <row r="18">
          <cell r="B18">
            <v>54.301320199999999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data"/>
      <sheetName val="داده های شاخص کل"/>
      <sheetName val="Methodology"/>
      <sheetName val="Metadata"/>
      <sheetName val="DRAFT"/>
      <sheetName val="Sheet1"/>
      <sheetName val="2015"/>
      <sheetName val="2010"/>
      <sheetName val="2019"/>
    </sheetNames>
    <sheetDataSet>
      <sheetData sheetId="0"/>
      <sheetData sheetId="1">
        <row r="2881">
          <cell r="H2881">
            <v>85.589466000000002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ایران"/>
      <sheetName val="رشد کشورها"/>
      <sheetName val="بهترین کشورها"/>
      <sheetName val="بدترین کشورها"/>
      <sheetName val="کشورهای نوظهور"/>
      <sheetName val="کشورهای نفتی"/>
      <sheetName val="Sheet1"/>
    </sheetNames>
    <sheetDataSet>
      <sheetData sheetId="0"/>
      <sheetData sheetId="1">
        <row r="7">
          <cell r="B7">
            <v>31.76</v>
          </cell>
        </row>
      </sheetData>
      <sheetData sheetId="2"/>
      <sheetData sheetId="3"/>
      <sheetData sheetId="4"/>
      <sheetData sheetId="5">
        <row r="13">
          <cell r="B13">
            <v>40.752857142857138</v>
          </cell>
        </row>
      </sheetData>
      <sheetData sheetId="6">
        <row r="14">
          <cell r="B14">
            <v>31.368055555555554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sperity Index"/>
      <sheetName val="ایران"/>
      <sheetName val="بهترین کشورها"/>
      <sheetName val="بدترین کشورها"/>
      <sheetName val="کشورهای نوظهور"/>
      <sheetName val="کشورهای نفتی"/>
      <sheetName val="بالا و پایین"/>
      <sheetName val="Pillars x 12"/>
      <sheetName val="Elements x 65"/>
      <sheetName val="Indicators x 294"/>
      <sheetName val="Prosperity Index (regions)"/>
      <sheetName val="Pillars x 12 (regions)"/>
      <sheetName val="Elements x 65 (regions)"/>
      <sheetName val="Indicators x 294 (regions)"/>
    </sheetNames>
    <sheetDataSet>
      <sheetData sheetId="0"/>
      <sheetData sheetId="1">
        <row r="3">
          <cell r="B3">
            <v>47.888410306120008</v>
          </cell>
        </row>
      </sheetData>
      <sheetData sheetId="2"/>
      <sheetData sheetId="3"/>
      <sheetData sheetId="4">
        <row r="13">
          <cell r="B13">
            <v>59.209195282625714</v>
          </cell>
        </row>
      </sheetData>
      <sheetData sheetId="5">
        <row r="17">
          <cell r="B17">
            <v>51.551700989534538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I"/>
      <sheetName val="Iran"/>
      <sheetName val="Rankings"/>
      <sheetName val=" top countries"/>
      <sheetName val=" bottom countries"/>
      <sheetName val="Opec Countries"/>
      <sheetName val="Up &amp; Down"/>
      <sheetName val="EPI (Regions)"/>
    </sheetNames>
    <sheetDataSet>
      <sheetData sheetId="0"/>
      <sheetData sheetId="1"/>
      <sheetData sheetId="2"/>
      <sheetData sheetId="3"/>
      <sheetData sheetId="4"/>
      <sheetData sheetId="5">
        <row r="16">
          <cell r="C16">
            <v>51.08185454545454</v>
          </cell>
        </row>
      </sheetData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یران"/>
      <sheetName val="بهترین و بدترین"/>
      <sheetName val="نوظهور"/>
      <sheetName val="نفتی"/>
      <sheetName val="بالا و پایین"/>
      <sheetName val="رشد"/>
      <sheetName val="Sheet6"/>
      <sheetName val="Sheet7"/>
    </sheetNames>
    <sheetDataSet>
      <sheetData sheetId="0">
        <row r="16">
          <cell r="B16">
            <v>4.6863999824523921</v>
          </cell>
        </row>
      </sheetData>
      <sheetData sheetId="1"/>
      <sheetData sheetId="2">
        <row r="15">
          <cell r="B15">
            <v>5.3663142767769951</v>
          </cell>
        </row>
      </sheetData>
      <sheetData sheetId="3">
        <row r="18">
          <cell r="B18">
            <v>5.5648181823730463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I"/>
      <sheetName val="Pillars Old"/>
      <sheetName val="Pillars New"/>
      <sheetName val="Iran"/>
      <sheetName val="Best Countries"/>
      <sheetName val="Worst Countries"/>
      <sheetName val="Opec Countries"/>
      <sheetName val="Selected Countries"/>
      <sheetName val="Ups &amp; Downs"/>
      <sheetName val="Top Growth"/>
      <sheetName val="Regions"/>
      <sheetName val="رقابت پذیزی جهانی جدید"/>
      <sheetName val="رتبه ایران در سه سال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V14">
            <v>55.979882703207011</v>
          </cell>
        </row>
      </sheetData>
      <sheetData sheetId="7">
        <row r="12">
          <cell r="V12">
            <v>65.938086687101304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ایران"/>
      <sheetName val="بهترین و بدترین"/>
      <sheetName val="بیشترین رشد"/>
      <sheetName val="رشد"/>
      <sheetName val="ایران و دو کشور بالا و پایین"/>
      <sheetName val="کشورهای نوظهور"/>
      <sheetName val="کشورهای نفتی"/>
    </sheetNames>
    <sheetDataSet>
      <sheetData sheetId="0" refreshError="1"/>
      <sheetData sheetId="1" refreshError="1"/>
      <sheetData sheetId="2">
        <row r="4">
          <cell r="K4">
            <v>0.7944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14">
          <cell r="B14">
            <v>0.76545714285714284</v>
          </cell>
        </row>
      </sheetData>
      <sheetData sheetId="8">
        <row r="18">
          <cell r="B18">
            <v>0.73641818181818186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38"/>
  <sheetViews>
    <sheetView workbookViewId="0">
      <selection activeCell="AX28" sqref="AX28"/>
    </sheetView>
  </sheetViews>
  <sheetFormatPr defaultColWidth="9.140625" defaultRowHeight="15.75"/>
  <cols>
    <col min="1" max="1" width="15.85546875" style="2" customWidth="1"/>
    <col min="2" max="10" width="9.140625" style="2"/>
    <col min="11" max="14" width="9.140625" style="4"/>
    <col min="15" max="32" width="9.140625" style="2"/>
    <col min="33" max="33" width="9.5703125" style="2" bestFit="1" customWidth="1"/>
    <col min="34" max="37" width="9.140625" style="2" customWidth="1"/>
    <col min="38" max="38" width="14.28515625" style="2" customWidth="1"/>
    <col min="39" max="39" width="9.140625" style="2" customWidth="1"/>
    <col min="40" max="40" width="9" style="2" bestFit="1" customWidth="1"/>
    <col min="41" max="41" width="9.140625" style="2" customWidth="1"/>
    <col min="42" max="42" width="16" style="2" customWidth="1"/>
    <col min="43" max="43" width="9.140625" style="2" customWidth="1"/>
    <col min="44" max="44" width="14.5703125" style="2" customWidth="1"/>
    <col min="45" max="49" width="9.140625" style="2"/>
    <col min="50" max="50" width="16" style="2" bestFit="1" customWidth="1"/>
    <col min="51" max="16384" width="9.140625" style="2"/>
  </cols>
  <sheetData>
    <row r="1" spans="1:52">
      <c r="A1" s="38" t="s">
        <v>2</v>
      </c>
      <c r="B1" s="38">
        <v>1990</v>
      </c>
      <c r="C1" s="38">
        <v>1991</v>
      </c>
      <c r="D1" s="38">
        <v>1992</v>
      </c>
      <c r="E1" s="38">
        <v>1993</v>
      </c>
      <c r="F1" s="38">
        <v>1994</v>
      </c>
      <c r="G1" s="38">
        <v>1995</v>
      </c>
      <c r="H1" s="38">
        <v>1996</v>
      </c>
      <c r="I1" s="38">
        <v>1997</v>
      </c>
      <c r="J1" s="38">
        <v>1998</v>
      </c>
      <c r="K1" s="38">
        <v>1999</v>
      </c>
      <c r="L1" s="38">
        <v>2000</v>
      </c>
      <c r="M1" s="38">
        <v>2001</v>
      </c>
      <c r="N1" s="38">
        <v>2002</v>
      </c>
      <c r="O1" s="38">
        <v>2003</v>
      </c>
      <c r="P1" s="38">
        <v>2004</v>
      </c>
      <c r="Q1" s="38">
        <v>2005</v>
      </c>
      <c r="R1" s="38">
        <v>2006</v>
      </c>
      <c r="S1" s="38">
        <v>2007</v>
      </c>
      <c r="T1" s="38">
        <v>2008</v>
      </c>
      <c r="U1" s="38">
        <v>2009</v>
      </c>
      <c r="V1" s="38">
        <v>2010</v>
      </c>
      <c r="W1" s="38">
        <v>2011</v>
      </c>
      <c r="X1" s="38">
        <v>2012</v>
      </c>
      <c r="Y1" s="38">
        <v>2013</v>
      </c>
      <c r="Z1" s="38">
        <v>2014</v>
      </c>
      <c r="AA1" s="38">
        <v>2015</v>
      </c>
      <c r="AB1" s="38">
        <v>2016</v>
      </c>
      <c r="AC1" s="38">
        <v>2017</v>
      </c>
      <c r="AD1" s="38">
        <v>2018</v>
      </c>
      <c r="AE1" s="38">
        <v>2019</v>
      </c>
      <c r="AF1" s="38">
        <v>2020</v>
      </c>
      <c r="AG1" s="164"/>
      <c r="AH1" s="2" t="s">
        <v>61</v>
      </c>
      <c r="AI1" s="44" t="s">
        <v>59</v>
      </c>
      <c r="AJ1" s="2" t="s">
        <v>60</v>
      </c>
      <c r="AK1" s="2">
        <v>2040</v>
      </c>
      <c r="AL1" s="2" t="s">
        <v>75</v>
      </c>
      <c r="AO1" s="2" t="s">
        <v>100</v>
      </c>
      <c r="AP1" s="2" t="s">
        <v>63</v>
      </c>
      <c r="AQ1" s="2" t="s">
        <v>94</v>
      </c>
      <c r="AS1" s="2" t="s">
        <v>97</v>
      </c>
      <c r="AT1" s="2" t="s">
        <v>98</v>
      </c>
      <c r="AV1" s="2">
        <v>1990</v>
      </c>
      <c r="AW1" s="2">
        <v>2020</v>
      </c>
      <c r="AY1" s="2">
        <v>1990</v>
      </c>
      <c r="AZ1" s="2">
        <v>2020</v>
      </c>
    </row>
    <row r="2" spans="1:52" ht="16.5" thickBot="1">
      <c r="A2" s="38" t="s">
        <v>40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174">
        <v>62.840000152587891</v>
      </c>
      <c r="X2" s="174">
        <v>63.369998931884766</v>
      </c>
      <c r="Y2" s="174">
        <v>63.5</v>
      </c>
      <c r="Z2" s="174">
        <v>64.489997863769531</v>
      </c>
      <c r="AA2" s="174">
        <v>65.160003662109375</v>
      </c>
      <c r="AB2" s="174">
        <v>65.75</v>
      </c>
      <c r="AC2" s="174">
        <v>66.989997863769531</v>
      </c>
      <c r="AD2" s="174">
        <v>66.849998474121094</v>
      </c>
      <c r="AE2" s="174">
        <v>67.800003051757813</v>
      </c>
      <c r="AF2" s="174">
        <v>67.489997863769531</v>
      </c>
      <c r="AG2" s="164">
        <v>2014</v>
      </c>
      <c r="AH2" s="2">
        <f>2019-2014+1</f>
        <v>6</v>
      </c>
      <c r="AI2" s="20">
        <f>0.6214*6+ 61.143</f>
        <v>64.871399999999994</v>
      </c>
      <c r="AJ2" s="2">
        <f>2040-2014</f>
        <v>26</v>
      </c>
      <c r="AK2" s="45">
        <f>0.6214*26+ 61.143</f>
        <v>77.299399999999991</v>
      </c>
      <c r="AL2" s="50">
        <f>AVERAGE(AA2:AE2)</f>
        <v>66.510000610351568</v>
      </c>
      <c r="AN2" s="2">
        <v>77.299399999999991</v>
      </c>
      <c r="AO2" s="2">
        <f>2014-1990</f>
        <v>24</v>
      </c>
      <c r="AP2" s="38" t="s">
        <v>40</v>
      </c>
      <c r="AQ2" s="163">
        <f>(((AE2/Z2)^(1/AH2))-1)*100</f>
        <v>0.83769082523732497</v>
      </c>
      <c r="AR2" s="38" t="s">
        <v>40</v>
      </c>
      <c r="AS2" s="39">
        <v>61.63</v>
      </c>
      <c r="AT2" s="39">
        <v>65.150000000000006</v>
      </c>
      <c r="AV2" s="45">
        <f>61.143-0.6214*24</f>
        <v>46.229399999999998</v>
      </c>
      <c r="AW2" s="45">
        <f>0.6214*6+ 61.143</f>
        <v>64.871399999999994</v>
      </c>
      <c r="AX2" s="38" t="s">
        <v>40</v>
      </c>
      <c r="AY2" s="2">
        <f>AV2</f>
        <v>46.229399999999998</v>
      </c>
      <c r="AZ2" s="2">
        <f>AW2</f>
        <v>64.871399999999994</v>
      </c>
    </row>
    <row r="3" spans="1:52" ht="16.5" thickBot="1">
      <c r="A3" s="38" t="s">
        <v>11</v>
      </c>
      <c r="B3" s="175">
        <v>0.56499999999999995</v>
      </c>
      <c r="C3" s="175">
        <v>0.58299999999999996</v>
      </c>
      <c r="D3" s="175">
        <v>0.59599999999999997</v>
      </c>
      <c r="E3" s="175">
        <v>0.60699999999999998</v>
      </c>
      <c r="F3" s="175">
        <v>0.61599999999999999</v>
      </c>
      <c r="G3" s="175">
        <v>0.627</v>
      </c>
      <c r="H3" s="175">
        <v>0.63400000000000001</v>
      </c>
      <c r="I3" s="175">
        <v>0.64</v>
      </c>
      <c r="J3" s="175">
        <v>0.64700000000000002</v>
      </c>
      <c r="K3" s="175">
        <v>0.65200000000000002</v>
      </c>
      <c r="L3" s="175">
        <v>0.65800000000000003</v>
      </c>
      <c r="M3" s="175">
        <v>0.66500000000000004</v>
      </c>
      <c r="N3" s="175">
        <v>0.67</v>
      </c>
      <c r="O3" s="175">
        <v>0.67700000000000005</v>
      </c>
      <c r="P3" s="175">
        <v>0.67800000000000005</v>
      </c>
      <c r="Q3" s="175">
        <v>0.68300000000000005</v>
      </c>
      <c r="R3" s="175">
        <v>0.71899999999999997</v>
      </c>
      <c r="S3" s="175">
        <v>0.72299999999999998</v>
      </c>
      <c r="T3" s="175">
        <v>0.72799999999999998</v>
      </c>
      <c r="U3" s="175">
        <v>0.73399999999999999</v>
      </c>
      <c r="V3" s="175">
        <v>0.74199999999999999</v>
      </c>
      <c r="W3" s="175">
        <v>0.753</v>
      </c>
      <c r="X3" s="175">
        <v>0.76800000000000002</v>
      </c>
      <c r="Y3" s="175">
        <v>0.77100000000000002</v>
      </c>
      <c r="Z3" s="175">
        <v>0.77400000000000002</v>
      </c>
      <c r="AA3" s="175">
        <v>0.77400000000000002</v>
      </c>
      <c r="AB3" s="175">
        <v>0.78400000000000003</v>
      </c>
      <c r="AC3" s="175">
        <v>0.78700000000000003</v>
      </c>
      <c r="AD3" s="175">
        <v>0.78500000000000003</v>
      </c>
      <c r="AE3" s="175">
        <v>0.78300000000000003</v>
      </c>
      <c r="AF3" s="175">
        <v>0.78300000000000003</v>
      </c>
      <c r="AG3" s="164">
        <v>1990</v>
      </c>
      <c r="AH3" s="2">
        <f>2018-1990+1</f>
        <v>29</v>
      </c>
      <c r="AI3" s="20">
        <f>0.008*29 + 0.5841</f>
        <v>0.81609999999999994</v>
      </c>
      <c r="AJ3" s="2">
        <f>2040-1990</f>
        <v>50</v>
      </c>
      <c r="AK3" s="45">
        <f>0.008*50 + 0.5841</f>
        <v>0.98409999999999997</v>
      </c>
      <c r="AL3" s="2">
        <f>AVERAGE(Z3:AD3)</f>
        <v>0.78079999999999994</v>
      </c>
      <c r="AN3" s="2">
        <v>0.98409999999999997</v>
      </c>
      <c r="AO3" s="2">
        <f>1990-1990</f>
        <v>0</v>
      </c>
      <c r="AP3" s="38" t="s">
        <v>11</v>
      </c>
      <c r="AQ3" s="163">
        <f>(((AD3/B3)^(1/AH3))-1)*100</f>
        <v>1.1404471318165132</v>
      </c>
      <c r="AR3" s="38" t="s">
        <v>11</v>
      </c>
      <c r="AS3" s="40">
        <v>0.57699999999999996</v>
      </c>
      <c r="AT3" s="40">
        <v>0.79700000000000004</v>
      </c>
      <c r="AV3" s="45">
        <f>0.5841-0.008*0</f>
        <v>0.58409999999999995</v>
      </c>
      <c r="AW3" s="45">
        <f>0.008*30 + 0.5841</f>
        <v>0.82409999999999994</v>
      </c>
      <c r="AX3" s="38" t="s">
        <v>11</v>
      </c>
      <c r="AY3" s="2">
        <f>AV3*100</f>
        <v>58.41</v>
      </c>
      <c r="AZ3" s="2">
        <f>AW3*100</f>
        <v>82.41</v>
      </c>
    </row>
    <row r="4" spans="1:52" ht="16.5" thickBot="1">
      <c r="A4" s="38" t="s">
        <v>12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40"/>
      <c r="U4" s="184">
        <v>2.35</v>
      </c>
      <c r="V4" s="184">
        <v>2.4340000000000002</v>
      </c>
      <c r="W4" s="184">
        <v>2.556</v>
      </c>
      <c r="X4" s="185"/>
      <c r="Y4" s="184">
        <v>2.5840000000000001</v>
      </c>
      <c r="Z4" s="184">
        <v>2.536</v>
      </c>
      <c r="AA4" s="184">
        <v>2.5169999999999999</v>
      </c>
      <c r="AB4" s="184">
        <v>2.4060000000000001</v>
      </c>
      <c r="AC4" s="184">
        <v>2.351</v>
      </c>
      <c r="AD4" s="184">
        <v>2.4390000000000001</v>
      </c>
      <c r="AE4" s="184">
        <v>2.5350000000000001</v>
      </c>
      <c r="AF4" s="184">
        <v>2.6720000000000002</v>
      </c>
      <c r="AG4" s="165">
        <v>2008</v>
      </c>
      <c r="AH4" s="2">
        <f>2018-2008+1</f>
        <v>11</v>
      </c>
      <c r="AI4" s="20">
        <f>0.0123*11 + 2.378</f>
        <v>2.5133000000000001</v>
      </c>
      <c r="AJ4" s="2">
        <f>2040-2008</f>
        <v>32</v>
      </c>
      <c r="AK4" s="45">
        <f>0.0123*32 + 2.378</f>
        <v>2.7716000000000003</v>
      </c>
      <c r="AL4" s="2">
        <f>AVERAGE(AB4:AF4)</f>
        <v>2.4805999999999999</v>
      </c>
      <c r="AN4" s="2">
        <v>2.7716000000000003</v>
      </c>
      <c r="AO4" s="2">
        <f>2008-1990</f>
        <v>18</v>
      </c>
      <c r="AP4" s="38" t="s">
        <v>12</v>
      </c>
      <c r="AQ4" s="163"/>
      <c r="AR4" s="38" t="s">
        <v>12</v>
      </c>
      <c r="AS4" s="40">
        <v>2.35</v>
      </c>
      <c r="AT4" s="40">
        <v>2.6720000000000002</v>
      </c>
      <c r="AV4" s="45">
        <f>2.378-0.0123*18</f>
        <v>2.1566000000000001</v>
      </c>
      <c r="AW4" s="45">
        <f>0.0123*12 + 2.378</f>
        <v>2.5256000000000003</v>
      </c>
      <c r="AX4" s="38" t="s">
        <v>12</v>
      </c>
      <c r="AY4" s="2">
        <f>(5-AV4)*25</f>
        <v>71.084999999999994</v>
      </c>
      <c r="AZ4" s="2">
        <f>(5-AW4)*25</f>
        <v>61.859999999999992</v>
      </c>
    </row>
    <row r="5" spans="1:52">
      <c r="A5" s="38" t="s">
        <v>95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40"/>
      <c r="U5" s="40">
        <f t="shared" ref="U5:AF5" si="0">(5-U4)*25</f>
        <v>66.25</v>
      </c>
      <c r="V5" s="40">
        <f t="shared" si="0"/>
        <v>64.149999999999991</v>
      </c>
      <c r="W5" s="40">
        <f t="shared" si="0"/>
        <v>61.1</v>
      </c>
      <c r="X5" s="40"/>
      <c r="Y5" s="40">
        <f t="shared" si="0"/>
        <v>60.4</v>
      </c>
      <c r="Z5" s="40">
        <f t="shared" si="0"/>
        <v>61.6</v>
      </c>
      <c r="AA5" s="40">
        <f t="shared" si="0"/>
        <v>62.075000000000003</v>
      </c>
      <c r="AB5" s="40">
        <f t="shared" si="0"/>
        <v>64.849999999999994</v>
      </c>
      <c r="AC5" s="40">
        <f t="shared" si="0"/>
        <v>66.224999999999994</v>
      </c>
      <c r="AD5" s="40">
        <f t="shared" si="0"/>
        <v>64.025000000000006</v>
      </c>
      <c r="AE5" s="40">
        <f t="shared" si="0"/>
        <v>61.625</v>
      </c>
      <c r="AF5" s="40">
        <f t="shared" si="0"/>
        <v>58.199999999999996</v>
      </c>
      <c r="AG5" s="165">
        <v>2008</v>
      </c>
      <c r="AH5" s="2">
        <f>2018-2008+1</f>
        <v>11</v>
      </c>
      <c r="AI5" s="20"/>
      <c r="AK5" s="45"/>
      <c r="AP5" s="38" t="s">
        <v>95</v>
      </c>
      <c r="AQ5" s="163" t="e">
        <f>(((AF5/T5)^(1/AH5))-1)*100</f>
        <v>#DIV/0!</v>
      </c>
      <c r="AR5" s="38" t="s">
        <v>95</v>
      </c>
      <c r="AS5" s="40">
        <f>(5-AS4)*25</f>
        <v>66.25</v>
      </c>
      <c r="AT5" s="40">
        <f>(5-AT4)*25</f>
        <v>58.199999999999996</v>
      </c>
      <c r="AV5" s="45"/>
      <c r="AW5" s="45"/>
      <c r="AX5" s="38" t="s">
        <v>95</v>
      </c>
    </row>
    <row r="6" spans="1:52">
      <c r="A6" s="38" t="s">
        <v>13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177">
        <v>27.3</v>
      </c>
      <c r="Z6" s="177">
        <v>26.1</v>
      </c>
      <c r="AA6" s="177">
        <v>28.4</v>
      </c>
      <c r="AB6" s="177">
        <v>30.5</v>
      </c>
      <c r="AC6" s="177">
        <v>32.1</v>
      </c>
      <c r="AD6" s="177">
        <v>33.4</v>
      </c>
      <c r="AE6" s="177">
        <v>34.4</v>
      </c>
      <c r="AF6" s="177">
        <v>30.9</v>
      </c>
      <c r="AG6" s="164">
        <v>2013</v>
      </c>
      <c r="AH6" s="2">
        <f>2019-2013+1</f>
        <v>7</v>
      </c>
      <c r="AI6">
        <f>1.4143*7 + 24.657</f>
        <v>34.557099999999998</v>
      </c>
      <c r="AJ6" s="2">
        <f>2040-2013</f>
        <v>27</v>
      </c>
      <c r="AK6" s="46">
        <f>1.4143*27 + 24.657</f>
        <v>62.843099999999993</v>
      </c>
      <c r="AL6" s="2">
        <f>AVERAGE(AA6:AE6)</f>
        <v>31.76</v>
      </c>
      <c r="AN6" s="2">
        <v>62.843099999999993</v>
      </c>
      <c r="AO6" s="2">
        <f>2013-1990</f>
        <v>23</v>
      </c>
      <c r="AP6" s="38" t="s">
        <v>13</v>
      </c>
      <c r="AQ6" s="163">
        <f>(((AE6/Z6)^(1/AH6))-1)*100</f>
        <v>4.0234213268597774</v>
      </c>
      <c r="AR6" s="38" t="s">
        <v>13</v>
      </c>
      <c r="AS6" s="40">
        <v>27.3</v>
      </c>
      <c r="AT6" s="38">
        <v>34.4</v>
      </c>
      <c r="AV6" s="45">
        <f>24.657-1.4143*23</f>
        <v>-7.8719000000000001</v>
      </c>
      <c r="AW6" s="46">
        <f>1.4143*7 + 24.657</f>
        <v>34.557099999999998</v>
      </c>
      <c r="AX6" s="38" t="s">
        <v>13</v>
      </c>
      <c r="AY6" s="2">
        <v>0</v>
      </c>
      <c r="AZ6" s="2">
        <f t="shared" ref="AZ6:AZ18" si="1">AW6</f>
        <v>34.557099999999998</v>
      </c>
    </row>
    <row r="7" spans="1:52">
      <c r="A7" s="38" t="s">
        <v>14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176">
        <v>4.2</v>
      </c>
      <c r="X7" s="176">
        <v>4.2</v>
      </c>
      <c r="Y7" s="176">
        <v>4.3</v>
      </c>
      <c r="Z7" s="176">
        <v>4.3</v>
      </c>
      <c r="AA7" s="176">
        <v>3.9649999999999999</v>
      </c>
      <c r="AB7" s="176">
        <v>4.24</v>
      </c>
      <c r="AC7" s="176">
        <v>4.5209999999999999</v>
      </c>
      <c r="AD7" s="176">
        <v>4.7480000000000002</v>
      </c>
      <c r="AE7" s="176">
        <v>4.5780000000000003</v>
      </c>
      <c r="AF7" s="176">
        <v>4.2489999999999997</v>
      </c>
      <c r="AG7" s="164">
        <v>2011</v>
      </c>
      <c r="AH7" s="2">
        <f>2019-2011+1</f>
        <v>9</v>
      </c>
      <c r="AI7" s="20">
        <f>0.059*9 + 4.0443</f>
        <v>4.5752999999999995</v>
      </c>
      <c r="AJ7" s="2">
        <f>2040-2011</f>
        <v>29</v>
      </c>
      <c r="AK7" s="45">
        <f>0.059*29 + 4.0443</f>
        <v>5.7553000000000001</v>
      </c>
      <c r="AL7" s="2">
        <f>AVERAGE(AA7:AE7)</f>
        <v>4.4104000000000001</v>
      </c>
      <c r="AN7" s="2">
        <v>5.7553000000000001</v>
      </c>
      <c r="AO7" s="2">
        <f>2011-1990</f>
        <v>21</v>
      </c>
      <c r="AP7" s="38" t="s">
        <v>14</v>
      </c>
      <c r="AQ7" s="163">
        <f>(((AE7/W7)^(1/AH7))-1)*100</f>
        <v>0.96212894350538036</v>
      </c>
      <c r="AR7" s="38" t="s">
        <v>14</v>
      </c>
      <c r="AS7" s="40">
        <v>4.2</v>
      </c>
      <c r="AT7" s="38">
        <v>4.5780000000000003</v>
      </c>
      <c r="AV7" s="45">
        <f>4.0443-0.059*21</f>
        <v>2.8052999999999999</v>
      </c>
      <c r="AW7" s="45">
        <f>0.059*9 + 4.0443</f>
        <v>4.5752999999999995</v>
      </c>
      <c r="AX7" s="38" t="s">
        <v>14</v>
      </c>
      <c r="AY7" s="2">
        <f>AV7*10</f>
        <v>28.052999999999997</v>
      </c>
      <c r="AZ7" s="2">
        <f>AW7*10</f>
        <v>45.752999999999993</v>
      </c>
    </row>
    <row r="8" spans="1:52">
      <c r="A8" s="38" t="s">
        <v>15</v>
      </c>
      <c r="B8" s="38"/>
      <c r="C8" s="38"/>
      <c r="D8" s="38"/>
      <c r="E8" s="38"/>
      <c r="F8" s="38"/>
      <c r="G8" s="38"/>
      <c r="H8" s="178">
        <v>-0.78629318333333342</v>
      </c>
      <c r="I8" s="178"/>
      <c r="J8" s="178">
        <v>-0.79813813333333339</v>
      </c>
      <c r="K8" s="178"/>
      <c r="L8" s="178">
        <v>-0.78554558333333346</v>
      </c>
      <c r="M8" s="178"/>
      <c r="N8" s="178">
        <v>-0.77506008333333343</v>
      </c>
      <c r="O8" s="178">
        <v>-0.76480626666666662</v>
      </c>
      <c r="P8" s="178">
        <v>-0.79139366666666666</v>
      </c>
      <c r="Q8" s="178">
        <v>-0.86618990000000007</v>
      </c>
      <c r="R8" s="178">
        <v>-0.99397305000000002</v>
      </c>
      <c r="S8" s="178">
        <v>-1.0388792499999999</v>
      </c>
      <c r="T8" s="178">
        <v>-1.0774076500000001</v>
      </c>
      <c r="U8" s="178">
        <v>-1.205532</v>
      </c>
      <c r="V8" s="178">
        <v>-1.2323207333333335</v>
      </c>
      <c r="W8" s="178">
        <v>-1.1327890666666665</v>
      </c>
      <c r="X8" s="178">
        <v>-1.0969561166666666</v>
      </c>
      <c r="Y8" s="178">
        <v>-1.1185497666666668</v>
      </c>
      <c r="Z8" s="178">
        <v>-1.0027006999999999</v>
      </c>
      <c r="AA8" s="178">
        <v>-0.91464154999999991</v>
      </c>
      <c r="AB8" s="178">
        <v>-0.82788139999999999</v>
      </c>
      <c r="AC8" s="178">
        <v>-0.85401881666666668</v>
      </c>
      <c r="AD8" s="178">
        <v>-1.0190355333333334</v>
      </c>
      <c r="AE8" s="178">
        <v>-1.1403629166666667</v>
      </c>
      <c r="AF8" s="187">
        <f>AE8-0.01</f>
        <v>-1.1503629166666667</v>
      </c>
      <c r="AG8" s="164">
        <v>1996</v>
      </c>
      <c r="AH8" s="2">
        <f>2018-1996+1</f>
        <v>23</v>
      </c>
      <c r="AI8" s="20">
        <f>-0.0128*20 - 0.7787</f>
        <v>-1.0347</v>
      </c>
      <c r="AJ8" s="2">
        <f>2040-1996</f>
        <v>44</v>
      </c>
      <c r="AK8" s="45">
        <f>-0.0128*44 - 0.7787</f>
        <v>-1.3418999999999999</v>
      </c>
      <c r="AL8" s="2">
        <f>AVERAGE(Z8:AD8)</f>
        <v>-0.92365560000000002</v>
      </c>
      <c r="AN8" s="2">
        <v>-1.3418999999999999</v>
      </c>
      <c r="AO8" s="2">
        <f>1996-1990</f>
        <v>6</v>
      </c>
      <c r="AP8" s="38" t="s">
        <v>15</v>
      </c>
      <c r="AQ8" s="163"/>
      <c r="AR8" s="38" t="s">
        <v>15</v>
      </c>
      <c r="AS8" s="38">
        <v>-0.7862931833333332</v>
      </c>
      <c r="AT8" s="38">
        <v>-1.0006251666666666</v>
      </c>
      <c r="AV8" s="45">
        <f>-0.7787+0.0128*6</f>
        <v>-0.70189999999999997</v>
      </c>
      <c r="AW8" s="45">
        <f>-0.0128*24 - 0.7787</f>
        <v>-1.0859000000000001</v>
      </c>
      <c r="AX8" s="38" t="s">
        <v>15</v>
      </c>
      <c r="AY8" s="2">
        <f>(AV8+2.5)*20</f>
        <v>35.962000000000003</v>
      </c>
      <c r="AZ8" s="2">
        <f>(AW8+2.5)*20</f>
        <v>28.281999999999996</v>
      </c>
    </row>
    <row r="9" spans="1:52">
      <c r="A9" s="38" t="s">
        <v>96</v>
      </c>
      <c r="B9" s="38"/>
      <c r="C9" s="38"/>
      <c r="D9" s="38"/>
      <c r="E9" s="38"/>
      <c r="F9" s="38"/>
      <c r="G9" s="38"/>
      <c r="H9" s="38">
        <f>(H8+2.5)*20</f>
        <v>34.274136333333331</v>
      </c>
      <c r="I9" s="38">
        <f t="shared" ref="I9:AF9" si="2">(I8+2.5)*20</f>
        <v>50</v>
      </c>
      <c r="J9" s="38">
        <f t="shared" si="2"/>
        <v>34.03723733333333</v>
      </c>
      <c r="K9" s="38">
        <f t="shared" si="2"/>
        <v>50</v>
      </c>
      <c r="L9" s="38">
        <f t="shared" si="2"/>
        <v>34.289088333333325</v>
      </c>
      <c r="M9" s="38">
        <f t="shared" si="2"/>
        <v>50</v>
      </c>
      <c r="N9" s="38">
        <f t="shared" si="2"/>
        <v>34.498798333333333</v>
      </c>
      <c r="O9" s="38">
        <f t="shared" si="2"/>
        <v>34.703874666666664</v>
      </c>
      <c r="P9" s="38">
        <f t="shared" si="2"/>
        <v>34.172126666666671</v>
      </c>
      <c r="Q9" s="38">
        <f t="shared" si="2"/>
        <v>32.676201999999996</v>
      </c>
      <c r="R9" s="38">
        <f t="shared" si="2"/>
        <v>30.120538999999997</v>
      </c>
      <c r="S9" s="38">
        <f t="shared" si="2"/>
        <v>29.222415000000002</v>
      </c>
      <c r="T9" s="38">
        <f t="shared" si="2"/>
        <v>28.451847000000001</v>
      </c>
      <c r="U9" s="38">
        <f t="shared" si="2"/>
        <v>25.88936</v>
      </c>
      <c r="V9" s="38">
        <f t="shared" si="2"/>
        <v>25.353585333333331</v>
      </c>
      <c r="W9" s="38">
        <f t="shared" si="2"/>
        <v>27.34421866666667</v>
      </c>
      <c r="X9" s="38">
        <f t="shared" si="2"/>
        <v>28.06087766666667</v>
      </c>
      <c r="Y9" s="38">
        <f t="shared" si="2"/>
        <v>27.629004666666663</v>
      </c>
      <c r="Z9" s="38">
        <f t="shared" si="2"/>
        <v>29.945986000000001</v>
      </c>
      <c r="AA9" s="38">
        <f t="shared" si="2"/>
        <v>31.707169000000004</v>
      </c>
      <c r="AB9" s="38">
        <f t="shared" si="2"/>
        <v>33.442372000000006</v>
      </c>
      <c r="AC9" s="38">
        <f t="shared" si="2"/>
        <v>32.919623666666666</v>
      </c>
      <c r="AD9" s="38">
        <f t="shared" si="2"/>
        <v>29.619289333333331</v>
      </c>
      <c r="AE9" s="38">
        <f t="shared" si="2"/>
        <v>27.192741666666667</v>
      </c>
      <c r="AF9" s="38">
        <f t="shared" si="2"/>
        <v>26.992741666666667</v>
      </c>
      <c r="AG9" s="164">
        <v>1996</v>
      </c>
      <c r="AH9" s="2">
        <f>2018-1996+1</f>
        <v>23</v>
      </c>
      <c r="AI9" s="20"/>
      <c r="AK9" s="45"/>
      <c r="AP9" s="38" t="s">
        <v>96</v>
      </c>
      <c r="AQ9" s="163">
        <f>(((AD9/H9)^(1/AH9))-1)*100</f>
        <v>-0.63262182166435865</v>
      </c>
      <c r="AR9" s="38" t="s">
        <v>96</v>
      </c>
      <c r="AS9" s="38">
        <f>(AS8+2.5)*20</f>
        <v>34.274136333333338</v>
      </c>
      <c r="AT9" s="38">
        <f>(AT8+2.5)*20</f>
        <v>29.987496666666669</v>
      </c>
      <c r="AV9" s="45"/>
      <c r="AW9" s="45"/>
      <c r="AX9" s="38" t="s">
        <v>96</v>
      </c>
    </row>
    <row r="10" spans="1:52">
      <c r="A10" s="38" t="s">
        <v>44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182">
        <v>55.879220000000004</v>
      </c>
      <c r="W10" s="182">
        <v>56.083820000000003</v>
      </c>
      <c r="X10" s="182">
        <v>56.172610000000006</v>
      </c>
      <c r="Y10" s="182">
        <v>57.636020000000002</v>
      </c>
      <c r="Z10" s="182">
        <v>56.513220000000004</v>
      </c>
      <c r="AA10" s="182">
        <v>57.301190000000005</v>
      </c>
      <c r="AB10" s="182">
        <v>55.377430000000004</v>
      </c>
      <c r="AC10" s="182">
        <v>55.707860000000004</v>
      </c>
      <c r="AD10" s="182">
        <v>55.696780000000004</v>
      </c>
      <c r="AE10" s="182">
        <v>58.639150000000008</v>
      </c>
      <c r="AF10" s="182">
        <v>58.546580000000006</v>
      </c>
      <c r="AG10" s="166">
        <v>2010</v>
      </c>
      <c r="AH10" s="2">
        <f>2020-2010+1</f>
        <v>11</v>
      </c>
      <c r="AI10">
        <f xml:space="preserve"> 0.1558*11 + 55.752</f>
        <v>57.465800000000002</v>
      </c>
      <c r="AJ10" s="2">
        <f>2040-2010</f>
        <v>30</v>
      </c>
      <c r="AK10" s="46">
        <f xml:space="preserve"> 0.1558*30 + 55.752</f>
        <v>60.426000000000002</v>
      </c>
      <c r="AL10" s="51">
        <f>AVERAGE(AB10:AF10)</f>
        <v>56.793559999999999</v>
      </c>
      <c r="AN10" s="2">
        <v>60.426000000000002</v>
      </c>
      <c r="AO10" s="2">
        <f>2010-1990</f>
        <v>20</v>
      </c>
      <c r="AP10" s="38" t="s">
        <v>44</v>
      </c>
      <c r="AQ10" s="163">
        <f>(((AF10/V10)^(1/AH10))-1)*100</f>
        <v>0.42480977774723705</v>
      </c>
      <c r="AR10" s="38" t="s">
        <v>44</v>
      </c>
      <c r="AS10" s="41">
        <v>55.879220000000004</v>
      </c>
      <c r="AT10" s="41">
        <v>58.546580000000006</v>
      </c>
      <c r="AV10" s="45">
        <f>55.752-0.1558*20</f>
        <v>52.636000000000003</v>
      </c>
      <c r="AW10" s="46">
        <f xml:space="preserve"> 0.1558*10 + 55.752</f>
        <v>57.31</v>
      </c>
      <c r="AX10" s="38" t="s">
        <v>44</v>
      </c>
      <c r="AY10" s="2">
        <f t="shared" ref="AY10:AY18" si="3">AV10</f>
        <v>52.636000000000003</v>
      </c>
      <c r="AZ10" s="2">
        <f t="shared" si="1"/>
        <v>57.31</v>
      </c>
    </row>
    <row r="11" spans="1:52">
      <c r="A11" s="38" t="s">
        <v>16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180">
        <v>4.6429999999999998</v>
      </c>
      <c r="Z11" s="180">
        <v>4.6429999999999998</v>
      </c>
      <c r="AA11" s="180">
        <v>4.6859999999999999</v>
      </c>
      <c r="AB11" s="180">
        <v>4.8129999999999997</v>
      </c>
      <c r="AC11" s="180">
        <v>4.6919999122619602</v>
      </c>
      <c r="AD11" s="180">
        <v>4.7069999999999999</v>
      </c>
      <c r="AE11" s="180">
        <v>4.548</v>
      </c>
      <c r="AF11" s="180">
        <v>4.6723999977111816</v>
      </c>
      <c r="AG11" s="164">
        <v>2013</v>
      </c>
      <c r="AH11" s="2">
        <f>2020-2013+1</f>
        <v>8</v>
      </c>
      <c r="AI11">
        <f xml:space="preserve"> -0.0039*8 + 4.6932</f>
        <v>4.6619999999999999</v>
      </c>
      <c r="AJ11" s="2">
        <f>2040-2013</f>
        <v>27</v>
      </c>
      <c r="AK11" s="46">
        <f xml:space="preserve"> -0.0039*27+ 4.6932</f>
        <v>4.5879000000000003</v>
      </c>
      <c r="AL11" s="2">
        <f>AVERAGE(AB11:AF11)</f>
        <v>4.6864799819946281</v>
      </c>
      <c r="AN11" s="2">
        <v>4.5879000000000003</v>
      </c>
      <c r="AO11" s="2">
        <f>2013-1990</f>
        <v>23</v>
      </c>
      <c r="AP11" s="38" t="s">
        <v>16</v>
      </c>
      <c r="AQ11" s="163">
        <f>(((AE11/Z11)^(1/AH11))-1)*100</f>
        <v>-0.25808056238708632</v>
      </c>
      <c r="AR11" s="38" t="s">
        <v>16</v>
      </c>
      <c r="AS11" s="38">
        <v>4.6429999999999998</v>
      </c>
      <c r="AT11" s="38">
        <v>4.6719999999999997</v>
      </c>
      <c r="AV11" s="45">
        <f xml:space="preserve"> 4.6932+0.0039*23</f>
        <v>4.7828999999999997</v>
      </c>
      <c r="AW11" s="46">
        <f xml:space="preserve"> -0.0039*7+ 4.6932</f>
        <v>4.6658999999999997</v>
      </c>
      <c r="AX11" s="38" t="s">
        <v>16</v>
      </c>
      <c r="AY11" s="2">
        <f>AV11*10</f>
        <v>47.828999999999994</v>
      </c>
      <c r="AZ11" s="2">
        <f>AW11*10</f>
        <v>46.658999999999999</v>
      </c>
    </row>
    <row r="12" spans="1:52">
      <c r="A12" s="38" t="s">
        <v>20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181">
        <v>46.5201865449</v>
      </c>
      <c r="T12" s="181">
        <v>46.728956712200002</v>
      </c>
      <c r="U12" s="183">
        <v>46.722445038300002</v>
      </c>
      <c r="V12" s="183">
        <v>45.911202215899998</v>
      </c>
      <c r="W12" s="183">
        <v>45.645813788600002</v>
      </c>
      <c r="X12" s="183">
        <v>47.120107835900001</v>
      </c>
      <c r="Y12" s="183">
        <v>47.012178792999997</v>
      </c>
      <c r="Z12" s="183">
        <v>46.958471232100003</v>
      </c>
      <c r="AA12" s="183">
        <v>46.805522070599999</v>
      </c>
      <c r="AB12" s="183">
        <v>47.181525719500002</v>
      </c>
      <c r="AC12" s="183">
        <v>48.046894248800001</v>
      </c>
      <c r="AD12" s="183">
        <v>49.0939676319</v>
      </c>
      <c r="AE12" s="183">
        <v>48.314141859800003</v>
      </c>
      <c r="AF12" s="183">
        <v>48.122613470200001</v>
      </c>
      <c r="AG12" s="164">
        <v>2009</v>
      </c>
      <c r="AH12" s="2">
        <f>2019-2009+1</f>
        <v>11</v>
      </c>
      <c r="AI12" s="20">
        <f>0.2528*11 + 45.648</f>
        <v>48.428800000000003</v>
      </c>
      <c r="AJ12" s="2">
        <f>2040-2009</f>
        <v>31</v>
      </c>
      <c r="AK12" s="45">
        <f>0.2528*31 + 45.648</f>
        <v>53.484800000000007</v>
      </c>
      <c r="AL12" s="3">
        <f>AVERAGE(AA12:AE12)</f>
        <v>47.888410306120008</v>
      </c>
      <c r="AN12" s="2">
        <v>53.484800000000007</v>
      </c>
      <c r="AO12" s="2">
        <f>2009-1990</f>
        <v>19</v>
      </c>
      <c r="AP12" s="38" t="s">
        <v>20</v>
      </c>
      <c r="AQ12" s="163">
        <f>(((AE12/U12)^(1/AH12))-1)*100</f>
        <v>0.30500637272110609</v>
      </c>
      <c r="AR12" s="38" t="s">
        <v>20</v>
      </c>
      <c r="AS12" s="42">
        <v>46.722445038300002</v>
      </c>
      <c r="AT12" s="42">
        <v>48.314141859800003</v>
      </c>
      <c r="AV12" s="45">
        <f>45.648-0.2528*19</f>
        <v>40.844800000000006</v>
      </c>
      <c r="AW12" s="45">
        <f>0.2528*11 + 45.648</f>
        <v>48.428800000000003</v>
      </c>
      <c r="AX12" s="38" t="s">
        <v>20</v>
      </c>
      <c r="AY12" s="2">
        <f t="shared" si="3"/>
        <v>40.844800000000006</v>
      </c>
      <c r="AZ12" s="2">
        <f t="shared" si="1"/>
        <v>48.428800000000003</v>
      </c>
    </row>
    <row r="13" spans="1:52">
      <c r="A13" s="38" t="s">
        <v>30</v>
      </c>
      <c r="B13" s="186">
        <v>5.0794982117462597</v>
      </c>
      <c r="C13" s="186">
        <v>4.9957070217734998</v>
      </c>
      <c r="D13" s="186">
        <v>5.0908653697951101</v>
      </c>
      <c r="E13" s="186">
        <v>5.56304638740085</v>
      </c>
      <c r="F13" s="186">
        <v>6.2827256134293696</v>
      </c>
      <c r="G13" s="186">
        <v>6.4213626570939102</v>
      </c>
      <c r="H13" s="186">
        <v>5.8240580831767703</v>
      </c>
      <c r="I13" s="186">
        <v>6.4310929967570898</v>
      </c>
      <c r="J13" s="186">
        <v>6.4159572987073101</v>
      </c>
      <c r="K13" s="186">
        <v>7.1353135622330202</v>
      </c>
      <c r="L13" s="186">
        <v>6.5704109184370498</v>
      </c>
      <c r="M13" s="186">
        <v>6.9620374431893604</v>
      </c>
      <c r="N13" s="186">
        <v>6.6627085936205797</v>
      </c>
      <c r="O13" s="186">
        <v>6.3378233300360796</v>
      </c>
      <c r="P13" s="186">
        <v>6.6244188802770099</v>
      </c>
      <c r="Q13" s="186">
        <v>7.05480557026016</v>
      </c>
      <c r="R13" s="186">
        <v>6.9753764462579202</v>
      </c>
      <c r="S13" s="186">
        <v>6.7637393317000196</v>
      </c>
      <c r="T13" s="186">
        <v>7.1820034580292198</v>
      </c>
      <c r="U13" s="186">
        <v>7.0060627247902403</v>
      </c>
      <c r="V13" s="186">
        <v>6.5754724393400803</v>
      </c>
      <c r="W13" s="186">
        <v>6.4629031224006699</v>
      </c>
      <c r="X13" s="186">
        <v>7.2004469455989302</v>
      </c>
      <c r="Y13" s="186">
        <v>7.4835471739595203</v>
      </c>
      <c r="Z13" s="186">
        <v>7.6976692943134202</v>
      </c>
      <c r="AA13" s="186">
        <v>7.7941162986058101</v>
      </c>
      <c r="AB13" s="38">
        <f>AA13+0.01727</f>
        <v>7.81138629860581</v>
      </c>
      <c r="AC13" s="38">
        <f t="shared" ref="AC13:AF13" si="4">AB13+0.01727</f>
        <v>7.8286562986058099</v>
      </c>
      <c r="AD13" s="38">
        <f t="shared" si="4"/>
        <v>7.8459262986058098</v>
      </c>
      <c r="AE13" s="38">
        <f t="shared" si="4"/>
        <v>7.8631962986058097</v>
      </c>
      <c r="AF13" s="38">
        <f t="shared" si="4"/>
        <v>7.8804662986058096</v>
      </c>
      <c r="AG13" s="164">
        <v>1990</v>
      </c>
      <c r="AH13" s="2">
        <f>2015-1990+1</f>
        <v>26</v>
      </c>
      <c r="AI13">
        <f xml:space="preserve"> 0.0824*26 + 5.445</f>
        <v>7.5874000000000006</v>
      </c>
      <c r="AJ13" s="2">
        <f>2040-1990</f>
        <v>50</v>
      </c>
      <c r="AK13" s="46">
        <f xml:space="preserve"> 0.0824*50 + 5.445</f>
        <v>9.5650000000000013</v>
      </c>
      <c r="AL13" s="2">
        <f>AVERAGE(W13:AA13)</f>
        <v>7.3277365669756707</v>
      </c>
      <c r="AN13" s="2">
        <v>9.5650000000000013</v>
      </c>
      <c r="AO13" s="2">
        <f>1990-1990</f>
        <v>0</v>
      </c>
      <c r="AP13" s="38" t="s">
        <v>30</v>
      </c>
      <c r="AQ13" s="163">
        <f>(((AA13/B13)^(1/AH13))-1)*100</f>
        <v>1.6603901095320062</v>
      </c>
      <c r="AR13" s="38" t="s">
        <v>30</v>
      </c>
      <c r="AS13" s="38">
        <v>5.0794982117462597</v>
      </c>
      <c r="AT13" s="38">
        <v>7.6976692943134202</v>
      </c>
      <c r="AV13" s="45">
        <f>5.445+0.0824*0</f>
        <v>5.4450000000000003</v>
      </c>
      <c r="AW13" s="46">
        <f xml:space="preserve"> 0.0824*30 + 5.445</f>
        <v>7.9169999999999998</v>
      </c>
      <c r="AX13" s="38" t="s">
        <v>30</v>
      </c>
      <c r="AY13" s="2">
        <f>(20-AV13)*100/20</f>
        <v>72.775000000000006</v>
      </c>
      <c r="AZ13" s="2">
        <f>(20-AW13)*100/20</f>
        <v>60.414999999999999</v>
      </c>
    </row>
    <row r="14" spans="1:52">
      <c r="A14" s="38" t="s">
        <v>37</v>
      </c>
      <c r="B14" s="38">
        <f t="shared" ref="B14:AE14" si="5">(10-B13)*100/10</f>
        <v>49.205017882537405</v>
      </c>
      <c r="C14" s="38">
        <f t="shared" si="5"/>
        <v>50.042929782265006</v>
      </c>
      <c r="D14" s="38">
        <f t="shared" si="5"/>
        <v>49.091346302048905</v>
      </c>
      <c r="E14" s="38">
        <f t="shared" si="5"/>
        <v>44.369536125991502</v>
      </c>
      <c r="F14" s="38">
        <f t="shared" si="5"/>
        <v>37.172743865706302</v>
      </c>
      <c r="G14" s="38">
        <f t="shared" si="5"/>
        <v>35.786373429060902</v>
      </c>
      <c r="H14" s="38">
        <f t="shared" si="5"/>
        <v>41.759419168232299</v>
      </c>
      <c r="I14" s="38">
        <f t="shared" si="5"/>
        <v>35.6890700324291</v>
      </c>
      <c r="J14" s="38">
        <f t="shared" si="5"/>
        <v>35.840427012926895</v>
      </c>
      <c r="K14" s="38">
        <f t="shared" si="5"/>
        <v>28.6468643776698</v>
      </c>
      <c r="L14" s="38">
        <f t="shared" si="5"/>
        <v>34.295890815629505</v>
      </c>
      <c r="M14" s="38">
        <f t="shared" si="5"/>
        <v>30.379625568106395</v>
      </c>
      <c r="N14" s="38">
        <f t="shared" si="5"/>
        <v>33.372914063794198</v>
      </c>
      <c r="O14" s="38">
        <f t="shared" si="5"/>
        <v>36.621766699639203</v>
      </c>
      <c r="P14" s="38">
        <f t="shared" si="5"/>
        <v>33.755811197229903</v>
      </c>
      <c r="Q14" s="38">
        <f t="shared" si="5"/>
        <v>29.451944297398398</v>
      </c>
      <c r="R14" s="38">
        <f t="shared" si="5"/>
        <v>30.246235537420795</v>
      </c>
      <c r="S14" s="38">
        <f t="shared" si="5"/>
        <v>32.362606682999804</v>
      </c>
      <c r="T14" s="38">
        <f t="shared" si="5"/>
        <v>28.179965419707806</v>
      </c>
      <c r="U14" s="38">
        <f t="shared" si="5"/>
        <v>29.939372752097597</v>
      </c>
      <c r="V14" s="38">
        <f t="shared" si="5"/>
        <v>34.245275606599201</v>
      </c>
      <c r="W14" s="38">
        <f t="shared" si="5"/>
        <v>35.370968775993298</v>
      </c>
      <c r="X14" s="38">
        <f t="shared" si="5"/>
        <v>27.995530544010698</v>
      </c>
      <c r="Y14" s="38">
        <f t="shared" si="5"/>
        <v>25.164528260404797</v>
      </c>
      <c r="Z14" s="38">
        <f t="shared" si="5"/>
        <v>23.023307056865796</v>
      </c>
      <c r="AA14" s="38">
        <f t="shared" si="5"/>
        <v>22.058837013941901</v>
      </c>
      <c r="AB14" s="38">
        <f t="shared" si="5"/>
        <v>21.886137013941898</v>
      </c>
      <c r="AC14" s="38">
        <f t="shared" si="5"/>
        <v>21.713437013941903</v>
      </c>
      <c r="AD14" s="38">
        <f t="shared" si="5"/>
        <v>21.5407370139419</v>
      </c>
      <c r="AE14" s="38">
        <f t="shared" si="5"/>
        <v>21.368037013941905</v>
      </c>
      <c r="AF14" s="38">
        <f>(10-AF13)*100/10</f>
        <v>21.195337013941902</v>
      </c>
      <c r="AG14" s="164">
        <v>1990</v>
      </c>
      <c r="AH14" s="2">
        <f>2015-1990+1</f>
        <v>26</v>
      </c>
      <c r="AI14" s="32"/>
      <c r="AK14" s="46"/>
      <c r="AP14" s="38" t="s">
        <v>37</v>
      </c>
      <c r="AQ14" s="163">
        <f>(((AA14/B14)^(1/AH14))-1)*100</f>
        <v>-3.0385793735266731</v>
      </c>
      <c r="AR14" s="38" t="s">
        <v>37</v>
      </c>
      <c r="AS14" s="38">
        <f>(20-AS13)*100/20</f>
        <v>74.602508941268709</v>
      </c>
      <c r="AT14" s="38">
        <f>(20-AT13)*100/20</f>
        <v>61.511653528432895</v>
      </c>
      <c r="AV14" s="45"/>
      <c r="AW14" s="46"/>
      <c r="AX14" s="38" t="s">
        <v>37</v>
      </c>
    </row>
    <row r="15" spans="1:52">
      <c r="A15" s="38" t="s">
        <v>31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174">
        <v>82.8</v>
      </c>
      <c r="T15" s="174">
        <v>85.7</v>
      </c>
      <c r="U15" s="174">
        <v>90</v>
      </c>
      <c r="V15" s="174">
        <v>92.2</v>
      </c>
      <c r="W15" s="174">
        <v>90.2</v>
      </c>
      <c r="X15" s="174">
        <v>89.6</v>
      </c>
      <c r="Y15" s="174">
        <v>89.7</v>
      </c>
      <c r="Z15" s="174">
        <v>87.2</v>
      </c>
      <c r="AA15" s="174">
        <v>87.1</v>
      </c>
      <c r="AB15" s="174">
        <v>86.9</v>
      </c>
      <c r="AC15" s="174">
        <v>85.8</v>
      </c>
      <c r="AD15" s="174">
        <v>84.271115167419168</v>
      </c>
      <c r="AE15" s="174">
        <v>83</v>
      </c>
      <c r="AF15" s="174">
        <v>83.386608652067594</v>
      </c>
      <c r="AG15" s="167">
        <v>2007</v>
      </c>
      <c r="AH15" s="2">
        <f>2020-2007+1</f>
        <v>14</v>
      </c>
      <c r="AI15">
        <f xml:space="preserve"> -0.3185*14 + 89.379</f>
        <v>84.92</v>
      </c>
      <c r="AJ15" s="2">
        <f>2040-2007</f>
        <v>33</v>
      </c>
      <c r="AK15" s="46">
        <f xml:space="preserve"> -0.3185*33 + 89.379</f>
        <v>78.868500000000012</v>
      </c>
      <c r="AL15" s="53">
        <f>AVERAGE(AB15:AF15)</f>
        <v>84.671544763897344</v>
      </c>
      <c r="AN15" s="2">
        <v>78.868500000000012</v>
      </c>
      <c r="AO15" s="2">
        <f>2007-1990</f>
        <v>17</v>
      </c>
      <c r="AP15" s="38" t="s">
        <v>31</v>
      </c>
      <c r="AQ15" s="163">
        <f>(((AF15/S15)^(1/AH15))-1)*100</f>
        <v>5.0438911572525669E-2</v>
      </c>
      <c r="AR15" s="38" t="s">
        <v>31</v>
      </c>
      <c r="AS15" s="43">
        <v>82.8</v>
      </c>
      <c r="AT15" s="43">
        <v>83.386608652067594</v>
      </c>
      <c r="AV15" s="45">
        <f>89.379+0.3185*17</f>
        <v>94.793500000000009</v>
      </c>
      <c r="AW15" s="46">
        <f xml:space="preserve"> -0.3185*13 + 89.379</f>
        <v>85.238500000000002</v>
      </c>
      <c r="AX15" s="38" t="s">
        <v>31</v>
      </c>
      <c r="AY15" s="2">
        <f>100-(100*AV15/120)</f>
        <v>21.005416666666662</v>
      </c>
      <c r="AZ15" s="2">
        <f>100-(100*AW15/120)</f>
        <v>28.967916666666667</v>
      </c>
    </row>
    <row r="16" spans="1:52">
      <c r="A16" s="38" t="s">
        <v>38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43">
        <f t="shared" ref="S16:AE16" si="6">100-(100*S15/120)</f>
        <v>31</v>
      </c>
      <c r="T16" s="43">
        <f t="shared" si="6"/>
        <v>28.583333333333329</v>
      </c>
      <c r="U16" s="43">
        <f t="shared" si="6"/>
        <v>25</v>
      </c>
      <c r="V16" s="43">
        <f t="shared" si="6"/>
        <v>23.166666666666671</v>
      </c>
      <c r="W16" s="43">
        <f t="shared" si="6"/>
        <v>24.833333333333329</v>
      </c>
      <c r="X16" s="43">
        <f t="shared" si="6"/>
        <v>25.333333333333329</v>
      </c>
      <c r="Y16" s="43">
        <f t="shared" si="6"/>
        <v>25.25</v>
      </c>
      <c r="Z16" s="43">
        <f t="shared" si="6"/>
        <v>27.333333333333329</v>
      </c>
      <c r="AA16" s="43">
        <f t="shared" si="6"/>
        <v>27.416666666666671</v>
      </c>
      <c r="AB16" s="43">
        <f t="shared" si="6"/>
        <v>27.583333333333329</v>
      </c>
      <c r="AC16" s="43">
        <f t="shared" si="6"/>
        <v>28.5</v>
      </c>
      <c r="AD16" s="43">
        <f t="shared" si="6"/>
        <v>29.77407069381735</v>
      </c>
      <c r="AE16" s="43">
        <f t="shared" si="6"/>
        <v>30.833333333333329</v>
      </c>
      <c r="AF16" s="43">
        <f>100-(100*AF15/120)</f>
        <v>30.511159456610343</v>
      </c>
      <c r="AG16" s="167">
        <v>2007</v>
      </c>
      <c r="AH16" s="2">
        <f>2020-2007+1</f>
        <v>14</v>
      </c>
      <c r="AI16" s="32"/>
      <c r="AK16" s="46"/>
      <c r="AL16" s="53"/>
      <c r="AP16" s="38" t="s">
        <v>38</v>
      </c>
      <c r="AQ16" s="163">
        <f>(((AF16/S16)^(1/AH16))-1)*100</f>
        <v>-0.11346917476122709</v>
      </c>
      <c r="AR16" s="38" t="s">
        <v>38</v>
      </c>
      <c r="AS16" s="43">
        <f>100-(100*AS15/120)</f>
        <v>31</v>
      </c>
      <c r="AT16" s="43">
        <f>100-(100*AT15/120)</f>
        <v>30.511159456610343</v>
      </c>
      <c r="AV16" s="45"/>
      <c r="AW16" s="46"/>
      <c r="AX16" s="38" t="s">
        <v>38</v>
      </c>
    </row>
    <row r="17" spans="1:52">
      <c r="A17" s="38" t="s">
        <v>32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179">
        <v>52.751320591339947</v>
      </c>
      <c r="W17" s="179">
        <v>54.24782742879686</v>
      </c>
      <c r="X17" s="179">
        <v>53.727759212238048</v>
      </c>
      <c r="Y17" s="179">
        <v>51.87789174989048</v>
      </c>
      <c r="Z17" s="179">
        <v>51.335689086620867</v>
      </c>
      <c r="AA17" s="179">
        <v>52.056990509348822</v>
      </c>
      <c r="AB17" s="179">
        <v>52.509647184138437</v>
      </c>
      <c r="AC17" s="179">
        <v>54.411857110184698</v>
      </c>
      <c r="AD17" s="179">
        <v>54.852980377041099</v>
      </c>
      <c r="AE17" s="179">
        <v>52.965924687079784</v>
      </c>
      <c r="AF17" s="179">
        <v>52.965924687079784</v>
      </c>
      <c r="AG17" s="164">
        <v>2015</v>
      </c>
      <c r="AH17" s="2">
        <f>2019-2014+1</f>
        <v>6</v>
      </c>
      <c r="AI17">
        <f xml:space="preserve"> -0.2451*5 + 54.946</f>
        <v>53.720500000000001</v>
      </c>
      <c r="AJ17" s="2">
        <f>2040-2015</f>
        <v>25</v>
      </c>
      <c r="AK17" s="46">
        <f xml:space="preserve"> -0.2451*25+ 54.946</f>
        <v>48.8185</v>
      </c>
      <c r="AL17" s="50">
        <f>AVERAGE(AA17:AE17)</f>
        <v>53.359479973558564</v>
      </c>
      <c r="AN17" s="2">
        <v>48.8185</v>
      </c>
      <c r="AO17" s="2">
        <f>2015-1990</f>
        <v>25</v>
      </c>
      <c r="AP17" s="38" t="s">
        <v>32</v>
      </c>
      <c r="AQ17" s="163">
        <f>(((AE17/AA17)^(1/AH17))-1)*100</f>
        <v>0.28891132289401433</v>
      </c>
      <c r="AR17" s="38" t="s">
        <v>32</v>
      </c>
      <c r="AS17" s="35">
        <v>54.411857110184698</v>
      </c>
      <c r="AT17" s="35">
        <v>52.965924687079784</v>
      </c>
      <c r="AV17" s="45">
        <f>54.946+0.2451*25</f>
        <v>61.073499999999996</v>
      </c>
      <c r="AW17" s="46">
        <f xml:space="preserve"> -0.2451*5+ 54.946</f>
        <v>53.720500000000001</v>
      </c>
      <c r="AX17" s="38" t="s">
        <v>32</v>
      </c>
      <c r="AY17" s="2">
        <f t="shared" si="3"/>
        <v>61.073499999999996</v>
      </c>
      <c r="AZ17" s="2">
        <f t="shared" si="1"/>
        <v>53.720500000000001</v>
      </c>
    </row>
    <row r="18" spans="1:52">
      <c r="A18" s="38" t="s">
        <v>33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>
        <v>38.9</v>
      </c>
      <c r="W18" s="36">
        <f>V18+0.91</f>
        <v>39.809999999999995</v>
      </c>
      <c r="X18" s="36">
        <f t="shared" ref="X18:AE18" si="7">W18+0.91</f>
        <v>40.719999999999992</v>
      </c>
      <c r="Y18" s="36">
        <f t="shared" si="7"/>
        <v>41.629999999999988</v>
      </c>
      <c r="Z18" s="36">
        <f t="shared" si="7"/>
        <v>42.539999999999985</v>
      </c>
      <c r="AA18" s="36">
        <f t="shared" si="7"/>
        <v>43.449999999999982</v>
      </c>
      <c r="AB18" s="36">
        <f t="shared" si="7"/>
        <v>44.359999999999978</v>
      </c>
      <c r="AC18" s="36">
        <f t="shared" si="7"/>
        <v>45.269999999999975</v>
      </c>
      <c r="AD18" s="36">
        <f t="shared" si="7"/>
        <v>46.179999999999971</v>
      </c>
      <c r="AE18" s="36">
        <f t="shared" si="7"/>
        <v>47.089999999999968</v>
      </c>
      <c r="AF18" s="36">
        <f>AE18+0.91</f>
        <v>47.999999999999964</v>
      </c>
      <c r="AG18" s="168">
        <v>2000</v>
      </c>
      <c r="AH18" s="2">
        <f>2020-2000+1</f>
        <v>21</v>
      </c>
      <c r="AI18">
        <f xml:space="preserve"> 0.9657*21 + 36.626</f>
        <v>56.905699999999996</v>
      </c>
      <c r="AJ18" s="2">
        <f>2040-2000</f>
        <v>40</v>
      </c>
      <c r="AK18" s="46">
        <f xml:space="preserve"> 0.9657*40 + 36.626</f>
        <v>75.253999999999991</v>
      </c>
      <c r="AL18" s="51">
        <f>AVERAGE(AB18:AF18)</f>
        <v>46.179999999999971</v>
      </c>
      <c r="AN18" s="2">
        <v>75.253999999999991</v>
      </c>
      <c r="AO18" s="2">
        <f>2000-1990</f>
        <v>10</v>
      </c>
      <c r="AP18" s="38" t="s">
        <v>33</v>
      </c>
      <c r="AQ18" s="163" t="e">
        <f>(((AF18/L18)^(1/AH18))-1)*100</f>
        <v>#DIV/0!</v>
      </c>
      <c r="AR18" s="38" t="s">
        <v>33</v>
      </c>
      <c r="AS18" s="36">
        <v>40.621252060000003</v>
      </c>
      <c r="AT18" s="37">
        <v>48</v>
      </c>
      <c r="AV18" s="45">
        <f>36.626-0.9657*10</f>
        <v>26.968999999999998</v>
      </c>
      <c r="AW18" s="46">
        <f xml:space="preserve"> 0.9657*20 + 36.626</f>
        <v>55.94</v>
      </c>
      <c r="AX18" s="38" t="s">
        <v>33</v>
      </c>
      <c r="AY18" s="2">
        <f t="shared" si="3"/>
        <v>26.968999999999998</v>
      </c>
      <c r="AZ18" s="2">
        <f t="shared" si="1"/>
        <v>55.94</v>
      </c>
    </row>
    <row r="19" spans="1:52">
      <c r="AE19" s="51"/>
    </row>
    <row r="22" spans="1:52">
      <c r="AS22" s="50"/>
    </row>
    <row r="23" spans="1:52">
      <c r="AS23" s="50"/>
    </row>
    <row r="24" spans="1:52">
      <c r="AS24" s="50"/>
    </row>
    <row r="25" spans="1:52">
      <c r="AS25" s="50"/>
    </row>
    <row r="26" spans="1:52">
      <c r="AS26" s="50"/>
    </row>
    <row r="27" spans="1:52">
      <c r="AS27" s="50"/>
    </row>
    <row r="28" spans="1:52">
      <c r="AS28" s="50"/>
    </row>
    <row r="29" spans="1:52">
      <c r="AS29" s="50"/>
    </row>
    <row r="30" spans="1:52">
      <c r="AS30" s="50"/>
    </row>
    <row r="31" spans="1:52">
      <c r="AS31" s="50"/>
    </row>
    <row r="32" spans="1:52">
      <c r="AS32" s="50"/>
    </row>
    <row r="33" spans="45:45">
      <c r="AS33" s="50"/>
    </row>
    <row r="34" spans="45:45">
      <c r="AS34" s="50"/>
    </row>
    <row r="35" spans="45:45">
      <c r="AS35" s="50"/>
    </row>
    <row r="36" spans="45:45">
      <c r="AS36" s="50"/>
    </row>
    <row r="37" spans="45:45">
      <c r="AS37" s="50"/>
    </row>
    <row r="38" spans="45:45">
      <c r="AS38" s="50"/>
    </row>
  </sheetData>
  <conditionalFormatting sqref="AE7">
    <cfRule type="duplicateValues" dxfId="2" priority="1"/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G113"/>
  <sheetViews>
    <sheetView workbookViewId="0">
      <selection activeCell="I2" sqref="I2:I14"/>
    </sheetView>
  </sheetViews>
  <sheetFormatPr defaultColWidth="9" defaultRowHeight="15"/>
  <cols>
    <col min="1" max="1" width="22.7109375" style="31" customWidth="1"/>
    <col min="2" max="2" width="21.140625" style="31" customWidth="1"/>
    <col min="3" max="3" width="13.7109375" style="31" bestFit="1" customWidth="1"/>
    <col min="4" max="4" width="21.42578125" style="31" customWidth="1"/>
    <col min="5" max="5" width="24.42578125" style="31" customWidth="1"/>
    <col min="6" max="6" width="20.7109375" style="31" customWidth="1"/>
    <col min="7" max="7" width="17" style="31" customWidth="1"/>
    <col min="8" max="8" width="15.42578125" style="31" customWidth="1"/>
    <col min="9" max="9" width="16.42578125" style="31" customWidth="1"/>
    <col min="10" max="10" width="14.42578125" style="31" customWidth="1"/>
    <col min="11" max="11" width="19.7109375" style="31" customWidth="1"/>
    <col min="12" max="12" width="9" style="31"/>
    <col min="13" max="13" width="17.5703125" style="31" customWidth="1"/>
    <col min="14" max="15" width="9" style="31"/>
    <col min="16" max="16" width="14.28515625" style="31" customWidth="1"/>
    <col min="17" max="22" width="9" style="31"/>
    <col min="23" max="23" width="14.5703125" style="31" customWidth="1"/>
    <col min="24" max="24" width="9" style="31"/>
    <col min="25" max="25" width="16.5703125" style="31" customWidth="1"/>
    <col min="26" max="29" width="9" style="31"/>
    <col min="30" max="30" width="8.140625" style="31" customWidth="1"/>
    <col min="31" max="31" width="12.42578125" style="31" customWidth="1"/>
    <col min="32" max="32" width="14.7109375" style="31" customWidth="1"/>
    <col min="33" max="16384" width="9" style="31"/>
  </cols>
  <sheetData>
    <row r="1" spans="1:9" ht="19.5">
      <c r="A1" s="125" t="s">
        <v>63</v>
      </c>
      <c r="B1" s="129" t="s">
        <v>64</v>
      </c>
      <c r="C1" s="129" t="s">
        <v>65</v>
      </c>
      <c r="D1" s="129" t="s">
        <v>71</v>
      </c>
      <c r="E1" s="129" t="s">
        <v>66</v>
      </c>
      <c r="F1" s="129" t="s">
        <v>84</v>
      </c>
      <c r="G1" s="129" t="s">
        <v>85</v>
      </c>
      <c r="H1" s="129" t="s">
        <v>86</v>
      </c>
      <c r="I1" s="129" t="s">
        <v>87</v>
      </c>
    </row>
    <row r="2" spans="1:9" ht="19.5">
      <c r="A2" s="125" t="s">
        <v>7</v>
      </c>
      <c r="B2" s="115" t="s">
        <v>72</v>
      </c>
      <c r="C2" s="110">
        <f>'[1]شاخص کل'!$Z$5</f>
        <v>-0.91998106666666657</v>
      </c>
      <c r="D2" s="130">
        <f>'[1]کشورهای نفتی'!$B$16</f>
        <v>-0.60702019133333329</v>
      </c>
      <c r="E2" s="117">
        <f>[1]نوظهور!$S$13</f>
        <v>-0.11729488095238097</v>
      </c>
      <c r="F2" s="134">
        <f>$Y$56</f>
        <v>-0.40113975333333335</v>
      </c>
      <c r="G2" s="122">
        <f>$Y$57</f>
        <v>0.79240069000000002</v>
      </c>
      <c r="H2" s="141">
        <f>$Y$60</f>
        <v>-0.36321119666666662</v>
      </c>
      <c r="I2" s="147">
        <f>$Y$58</f>
        <v>1.6056534733333332</v>
      </c>
    </row>
    <row r="3" spans="1:9" ht="19.5">
      <c r="A3" s="125" t="s">
        <v>67</v>
      </c>
      <c r="B3" s="115" t="s">
        <v>70</v>
      </c>
      <c r="C3" s="111">
        <f>'داده های شاخص ها برای ایران'!$AL$10</f>
        <v>56.793559999999999</v>
      </c>
      <c r="D3" s="130">
        <f>'[2]کشورهای نفتی'!$B$18</f>
        <v>54.301320199999999</v>
      </c>
      <c r="E3" s="117">
        <f>'[2]کشورهای نوظهور'!$B$14</f>
        <v>69.47160371428572</v>
      </c>
      <c r="F3" s="134">
        <f>$M$64</f>
        <v>68.968702000000008</v>
      </c>
      <c r="G3" s="122">
        <f>$M$65</f>
        <v>83.796322000000004</v>
      </c>
      <c r="H3" s="142">
        <f>$M$67</f>
        <v>72.296304000000006</v>
      </c>
      <c r="I3" s="147">
        <f>'[3]داده های شاخص کل'!$H$2881</f>
        <v>85.589466000000002</v>
      </c>
    </row>
    <row r="4" spans="1:9" ht="19.5">
      <c r="A4" s="125" t="s">
        <v>5</v>
      </c>
      <c r="B4" s="115" t="s">
        <v>73</v>
      </c>
      <c r="C4" s="110">
        <f>[4]ایران!$B$7</f>
        <v>31.76</v>
      </c>
      <c r="D4" s="130">
        <f>'[4]کشورهای نفتی'!$B$14</f>
        <v>31.368055555555554</v>
      </c>
      <c r="E4" s="117">
        <f>'[4]کشورهای نوظهور'!$B$13</f>
        <v>40.752857142857138</v>
      </c>
      <c r="F4" s="134">
        <f>$I$44</f>
        <v>51.7</v>
      </c>
      <c r="G4" s="122">
        <f>$I$45</f>
        <v>56.925000000000004</v>
      </c>
      <c r="H4" s="141">
        <f>$I$47</f>
        <v>38</v>
      </c>
      <c r="I4" s="147">
        <v>58.4</v>
      </c>
    </row>
    <row r="5" spans="1:9" ht="19.5">
      <c r="A5" s="125" t="s">
        <v>10</v>
      </c>
      <c r="B5" s="115" t="s">
        <v>73</v>
      </c>
      <c r="C5" s="110">
        <f>[5]ایران!$B$3</f>
        <v>47.888410306120008</v>
      </c>
      <c r="D5" s="130">
        <f>'[5]کشورهای نفتی'!$B$17</f>
        <v>51.551700989534538</v>
      </c>
      <c r="E5" s="117">
        <f>'[5]کشورهای نوظهور'!$B$13</f>
        <v>59.209195282625714</v>
      </c>
      <c r="F5" s="134">
        <f>$M$79</f>
        <v>59.625727254560005</v>
      </c>
      <c r="G5" s="122">
        <f>$M$80</f>
        <v>72.330599582379989</v>
      </c>
      <c r="H5" s="143">
        <f>$M$82</f>
        <v>56.917730482820005</v>
      </c>
      <c r="I5" s="147">
        <f>$M$78</f>
        <v>79.06805043995999</v>
      </c>
    </row>
    <row r="6" spans="1:9" s="52" customFormat="1" ht="19.5">
      <c r="A6" s="125" t="s">
        <v>68</v>
      </c>
      <c r="B6" s="115" t="s">
        <v>74</v>
      </c>
      <c r="C6" s="112">
        <v>53.257999999999996</v>
      </c>
      <c r="D6" s="130">
        <f>'[6]Opec Countries'!$C$16</f>
        <v>51.08185454545454</v>
      </c>
      <c r="E6" s="117">
        <f>AVERAGE(F6:I6)</f>
        <v>60.113500000000002</v>
      </c>
      <c r="F6" s="134">
        <f>$W$94</f>
        <v>47.676000000000002</v>
      </c>
      <c r="G6" s="122">
        <v>66.5</v>
      </c>
      <c r="H6" s="142">
        <f>$W$98</f>
        <v>56.77600000000001</v>
      </c>
      <c r="I6" s="148">
        <f>$W$97</f>
        <v>69.50200000000001</v>
      </c>
    </row>
    <row r="7" spans="1:9" ht="19.5">
      <c r="A7" s="125" t="s">
        <v>9</v>
      </c>
      <c r="B7" s="115" t="s">
        <v>70</v>
      </c>
      <c r="C7" s="110">
        <f>[7]ایران!$B$16</f>
        <v>4.6863999824523921</v>
      </c>
      <c r="D7" s="130">
        <f>[7]نفتی!$B$18</f>
        <v>5.5648181823730463</v>
      </c>
      <c r="E7" s="117">
        <f>[7]نوظهور!$B$15</f>
        <v>5.3663142767769951</v>
      </c>
      <c r="F7" s="134">
        <f>$J$72</f>
        <v>5.2157999526977541</v>
      </c>
      <c r="G7" s="122">
        <f>$J$71</f>
        <v>5.8629999641418458</v>
      </c>
      <c r="H7" s="141">
        <f>$J$74</f>
        <v>5.3754000000000008</v>
      </c>
      <c r="I7" s="147"/>
    </row>
    <row r="8" spans="1:9" s="109" customFormat="1" ht="19.5">
      <c r="A8" s="125" t="s">
        <v>28</v>
      </c>
      <c r="B8" s="116" t="s">
        <v>73</v>
      </c>
      <c r="C8" s="113">
        <f>$G$109</f>
        <v>54.210895278934991</v>
      </c>
      <c r="D8" s="131">
        <f>'[8]Opec Countries'!$V$14</f>
        <v>55.979882703207011</v>
      </c>
      <c r="E8" s="119">
        <f>'[8]Selected Countries'!$V$12</f>
        <v>65.938086687101304</v>
      </c>
      <c r="F8" s="135">
        <f>$G$111</f>
        <v>72.357574979362838</v>
      </c>
      <c r="G8" s="139">
        <f>$G$110</f>
        <v>78.508571115357014</v>
      </c>
      <c r="H8" s="144">
        <f>$G$112</f>
        <v>61.599263463248612</v>
      </c>
      <c r="I8" s="149">
        <v>83.743861555246696</v>
      </c>
    </row>
    <row r="9" spans="1:9" ht="19.5">
      <c r="A9" s="125" t="s">
        <v>27</v>
      </c>
      <c r="B9" s="115" t="s">
        <v>70</v>
      </c>
      <c r="C9" s="114">
        <v>84.671544763897344</v>
      </c>
      <c r="D9" s="132">
        <v>80.561915809474812</v>
      </c>
      <c r="E9" s="120">
        <v>68.85211191624191</v>
      </c>
      <c r="F9" s="136">
        <f>$P$103</f>
        <v>72.590765825448827</v>
      </c>
      <c r="G9" s="140">
        <f>$P$104</f>
        <v>35.129837603812355</v>
      </c>
      <c r="H9" s="145">
        <f>$P$105</f>
        <v>79.953286000615265</v>
      </c>
      <c r="I9" s="147">
        <v>30</v>
      </c>
    </row>
    <row r="10" spans="1:9" ht="19.5">
      <c r="A10" s="125" t="s">
        <v>3</v>
      </c>
      <c r="B10" s="115" t="s">
        <v>72</v>
      </c>
      <c r="C10" s="110">
        <f>[9]ایران!$K$4</f>
        <v>0.7944</v>
      </c>
      <c r="D10" s="130">
        <f>'[9]کشورهای نفتی'!$B$18</f>
        <v>0.73641818181818186</v>
      </c>
      <c r="E10" s="117">
        <f>'[9]کشورهای نوظهور'!$B$14</f>
        <v>0.76545714285714284</v>
      </c>
      <c r="F10" s="134">
        <f>$AE$27</f>
        <v>0.74740000000000006</v>
      </c>
      <c r="G10" s="122">
        <f>$AE$28</f>
        <v>0.90119999999999989</v>
      </c>
      <c r="H10" s="141">
        <f>$AE$31</f>
        <v>0.80080000000000007</v>
      </c>
      <c r="I10" s="147">
        <f>$AE$29</f>
        <v>0.93180000000000018</v>
      </c>
    </row>
    <row r="11" spans="1:9" ht="19.5">
      <c r="A11" s="125" t="s">
        <v>0</v>
      </c>
      <c r="B11" s="115" t="s">
        <v>73</v>
      </c>
      <c r="C11" s="111">
        <f>[10]ایران!$D$17</f>
        <v>63.655999999999992</v>
      </c>
      <c r="D11" s="133">
        <f>'[10]کشورهای نفتی'!$B$12</f>
        <v>60.603714285714283</v>
      </c>
      <c r="E11" s="118">
        <f>'[10]کشورهای نوظهور'!$B$12</f>
        <v>68.482285714285723</v>
      </c>
      <c r="F11" s="137">
        <f>$H$21</f>
        <v>63.54</v>
      </c>
      <c r="G11" s="123">
        <f>$H$20</f>
        <v>84.084000000000003</v>
      </c>
      <c r="H11" s="146">
        <f>$H$23</f>
        <v>66.63</v>
      </c>
      <c r="I11" s="150">
        <f>$H$22</f>
        <v>82.396000000000001</v>
      </c>
    </row>
    <row r="12" spans="1:9" s="52" customFormat="1" ht="19.5">
      <c r="A12" s="125" t="s">
        <v>26</v>
      </c>
      <c r="B12" s="115" t="s">
        <v>73</v>
      </c>
      <c r="C12" s="110">
        <f>[11]نفتی!$AB$1</f>
        <v>7.3277365669756707</v>
      </c>
      <c r="D12" s="130">
        <f>[11]نفتی!$Y$1</f>
        <v>4.948355268260201</v>
      </c>
      <c r="E12" s="121">
        <f>$AG$87</f>
        <v>5.6362641852839372</v>
      </c>
      <c r="F12" s="138">
        <f>$AF$90</f>
        <v>7.6676484895426658</v>
      </c>
      <c r="G12" s="124">
        <f>$AF$88</f>
        <v>6.7624598793553856</v>
      </c>
      <c r="H12" s="143">
        <f>$AF$87</f>
        <v>3.3496138325556779</v>
      </c>
      <c r="I12" s="151">
        <f>$AF$89</f>
        <v>2.6074824263601499</v>
      </c>
    </row>
    <row r="13" spans="1:9" ht="19.5">
      <c r="A13" s="125" t="s">
        <v>69</v>
      </c>
      <c r="B13" s="115" t="s">
        <v>70</v>
      </c>
      <c r="C13" s="110">
        <f>[12]ایران!$C$3</f>
        <v>2.4805999999999999</v>
      </c>
      <c r="D13" s="130">
        <f>'[12]کشورهای نفتی'!$B$17</f>
        <v>2.3842181818181816</v>
      </c>
      <c r="E13" s="117">
        <f>'[12]کشورهای نوظهور'!$B$13</f>
        <v>2.4500857142857142</v>
      </c>
      <c r="F13" s="134">
        <f>$P$36</f>
        <v>2.1654</v>
      </c>
      <c r="G13" s="122">
        <f>$P$37</f>
        <v>1.8105999999999998</v>
      </c>
      <c r="H13" s="141">
        <f>$P$39</f>
        <v>2.8213999999999997</v>
      </c>
      <c r="I13" s="147">
        <v>1.4630000000000001</v>
      </c>
    </row>
    <row r="14" spans="1:9" ht="19.5">
      <c r="A14" s="125" t="s">
        <v>6</v>
      </c>
      <c r="B14" s="115" t="s">
        <v>73</v>
      </c>
      <c r="C14" s="110">
        <f>[13]Sheet7!$N$3</f>
        <v>4.410400000000001</v>
      </c>
      <c r="D14" s="130">
        <v>5.17</v>
      </c>
      <c r="E14" s="117">
        <v>6.36</v>
      </c>
      <c r="F14" s="134">
        <v>5.68</v>
      </c>
      <c r="G14" s="122">
        <v>6.3</v>
      </c>
      <c r="H14" s="141">
        <f>$K$52</f>
        <v>5.1850000000000005</v>
      </c>
      <c r="I14" s="147">
        <v>8.3000000000000007</v>
      </c>
    </row>
    <row r="15" spans="1:9">
      <c r="F15" s="95"/>
    </row>
    <row r="18" spans="1:31" ht="18.75">
      <c r="A18" s="76" t="s">
        <v>0</v>
      </c>
      <c r="B18" s="55">
        <v>2014</v>
      </c>
      <c r="C18" s="55">
        <v>2015</v>
      </c>
      <c r="D18" s="55">
        <v>2016</v>
      </c>
      <c r="E18" s="55">
        <v>2017</v>
      </c>
      <c r="F18" s="55">
        <v>2018</v>
      </c>
      <c r="G18" s="55">
        <v>2019</v>
      </c>
      <c r="H18" s="93" t="s">
        <v>81</v>
      </c>
    </row>
    <row r="19" spans="1:31" ht="18.75">
      <c r="A19" s="77" t="s">
        <v>2</v>
      </c>
      <c r="B19" s="56">
        <v>61.63</v>
      </c>
      <c r="C19" s="56">
        <v>62.58</v>
      </c>
      <c r="D19" s="56">
        <v>63.11</v>
      </c>
      <c r="E19" s="56">
        <v>63.660000000000004</v>
      </c>
      <c r="F19" s="56">
        <v>63.78</v>
      </c>
      <c r="G19" s="56">
        <v>65.150000000000006</v>
      </c>
      <c r="H19" s="94">
        <f>AVERAGE(C19:G19)</f>
        <v>63.655999999999992</v>
      </c>
    </row>
    <row r="20" spans="1:31" ht="18.75">
      <c r="A20" s="77" t="s">
        <v>41</v>
      </c>
      <c r="B20" s="56"/>
      <c r="C20" s="56">
        <v>82.65</v>
      </c>
      <c r="D20" s="56">
        <v>83.29</v>
      </c>
      <c r="E20" s="56">
        <v>83.51</v>
      </c>
      <c r="F20" s="103">
        <v>85.36</v>
      </c>
      <c r="G20" s="103">
        <v>85.61</v>
      </c>
      <c r="H20" s="94">
        <f>AVERAGE(C20:G20)</f>
        <v>84.084000000000003</v>
      </c>
    </row>
    <row r="21" spans="1:31" ht="18.75">
      <c r="A21" s="77" t="s">
        <v>42</v>
      </c>
      <c r="B21" s="56"/>
      <c r="C21" s="56">
        <v>62.38</v>
      </c>
      <c r="D21" s="56">
        <v>62.89</v>
      </c>
      <c r="E21" s="56">
        <v>63.730000000000004</v>
      </c>
      <c r="F21" s="56">
        <v>64.16</v>
      </c>
      <c r="G21" s="56">
        <v>64.540000000000006</v>
      </c>
      <c r="H21" s="94">
        <f>AVERAGE(C21:G21)</f>
        <v>63.54</v>
      </c>
    </row>
    <row r="22" spans="1:31" ht="18.75">
      <c r="A22" s="77" t="s">
        <v>43</v>
      </c>
      <c r="B22" s="56"/>
      <c r="C22" s="56">
        <v>81.89</v>
      </c>
      <c r="D22" s="56">
        <v>81.84</v>
      </c>
      <c r="E22" s="56">
        <v>82.28</v>
      </c>
      <c r="F22" s="56">
        <v>82.74</v>
      </c>
      <c r="G22" s="103">
        <v>83.23</v>
      </c>
      <c r="H22" s="94">
        <f>AVERAGE(C22:G22)</f>
        <v>82.396000000000001</v>
      </c>
    </row>
    <row r="23" spans="1:31" ht="18.75">
      <c r="A23" s="77" t="s">
        <v>1</v>
      </c>
      <c r="B23" s="56">
        <v>66.820000000000007</v>
      </c>
      <c r="C23" s="56">
        <v>66.89</v>
      </c>
      <c r="D23" s="56">
        <v>66.77</v>
      </c>
      <c r="E23" s="56">
        <v>65.739999999999995</v>
      </c>
      <c r="F23" s="56">
        <v>66.260000000000005</v>
      </c>
      <c r="G23" s="56">
        <v>67.489999999999995</v>
      </c>
      <c r="H23" s="94">
        <f>AVERAGE(C23:G23)</f>
        <v>66.63</v>
      </c>
    </row>
    <row r="24" spans="1:31" ht="18">
      <c r="A24" s="78"/>
    </row>
    <row r="25" spans="1:31" ht="18">
      <c r="A25" s="78"/>
    </row>
    <row r="26" spans="1:31" ht="18.75">
      <c r="A26" s="79" t="s">
        <v>3</v>
      </c>
      <c r="B26" s="58">
        <v>1990</v>
      </c>
      <c r="C26" s="58">
        <v>1991</v>
      </c>
      <c r="D26" s="58">
        <v>1992</v>
      </c>
      <c r="E26" s="58">
        <v>1993</v>
      </c>
      <c r="F26" s="58">
        <v>1994</v>
      </c>
      <c r="G26" s="58">
        <v>1995</v>
      </c>
      <c r="H26" s="58">
        <v>1996</v>
      </c>
      <c r="I26" s="58">
        <v>1997</v>
      </c>
      <c r="J26" s="58">
        <v>1998</v>
      </c>
      <c r="K26" s="58">
        <v>1999</v>
      </c>
      <c r="L26" s="58">
        <v>2000</v>
      </c>
      <c r="M26" s="58">
        <v>2001</v>
      </c>
      <c r="N26" s="58">
        <v>2002</v>
      </c>
      <c r="O26" s="58">
        <v>2003</v>
      </c>
      <c r="P26" s="58">
        <v>2004</v>
      </c>
      <c r="Q26" s="58">
        <v>2005</v>
      </c>
      <c r="R26" s="58">
        <v>2006</v>
      </c>
      <c r="S26" s="58">
        <v>2007</v>
      </c>
      <c r="T26" s="58">
        <v>2008</v>
      </c>
      <c r="U26" s="58">
        <v>2009</v>
      </c>
      <c r="V26" s="58">
        <v>2010</v>
      </c>
      <c r="W26" s="58">
        <v>2011</v>
      </c>
      <c r="X26" s="58">
        <v>2012</v>
      </c>
      <c r="Y26" s="58">
        <v>2013</v>
      </c>
      <c r="Z26" s="58">
        <v>2014</v>
      </c>
      <c r="AA26" s="58">
        <v>2015</v>
      </c>
      <c r="AB26" s="58">
        <v>2016</v>
      </c>
      <c r="AC26" s="58">
        <v>2017</v>
      </c>
      <c r="AD26" s="58">
        <v>2018</v>
      </c>
      <c r="AE26" s="93" t="s">
        <v>81</v>
      </c>
    </row>
    <row r="27" spans="1:31" ht="18.75">
      <c r="A27" s="79" t="s">
        <v>42</v>
      </c>
      <c r="B27" s="58">
        <v>0.501</v>
      </c>
      <c r="C27" s="58">
        <v>0.50900000000000001</v>
      </c>
      <c r="D27" s="58">
        <v>0.52</v>
      </c>
      <c r="E27" s="58">
        <v>0.53</v>
      </c>
      <c r="F27" s="58">
        <v>0.53700000000000003</v>
      </c>
      <c r="G27" s="58">
        <v>0.54900000000000004</v>
      </c>
      <c r="H27" s="58">
        <v>0.55800000000000005</v>
      </c>
      <c r="I27" s="58">
        <v>0.56599999999999995</v>
      </c>
      <c r="J27" s="58">
        <v>0.57399999999999995</v>
      </c>
      <c r="K27" s="58">
        <v>0.58299999999999996</v>
      </c>
      <c r="L27" s="58">
        <v>0.59099999999999997</v>
      </c>
      <c r="M27" s="58">
        <v>0.59899999999999998</v>
      </c>
      <c r="N27" s="58">
        <v>0.61</v>
      </c>
      <c r="O27" s="58">
        <v>0.622</v>
      </c>
      <c r="P27" s="58">
        <v>0.63100000000000001</v>
      </c>
      <c r="Q27" s="58">
        <v>0.64300000000000002</v>
      </c>
      <c r="R27" s="58">
        <v>0.65700000000000003</v>
      </c>
      <c r="S27" s="58">
        <v>0.67</v>
      </c>
      <c r="T27" s="58">
        <v>0.68100000000000005</v>
      </c>
      <c r="U27" s="58">
        <v>0.69</v>
      </c>
      <c r="V27" s="58">
        <v>0.70199999999999996</v>
      </c>
      <c r="W27" s="58">
        <v>0.71099999999999997</v>
      </c>
      <c r="X27" s="58">
        <v>0.71899999999999997</v>
      </c>
      <c r="Y27" s="58">
        <v>0.72699999999999998</v>
      </c>
      <c r="Z27" s="58">
        <v>0.73499999999999999</v>
      </c>
      <c r="AA27" s="58">
        <v>0.74199999999999999</v>
      </c>
      <c r="AB27" s="58">
        <v>0.749</v>
      </c>
      <c r="AC27" s="58">
        <v>0.753</v>
      </c>
      <c r="AD27" s="58">
        <v>0.75800000000000001</v>
      </c>
      <c r="AE27" s="93">
        <f>AVERAGE(Z27:AD27)</f>
        <v>0.74740000000000006</v>
      </c>
    </row>
    <row r="28" spans="1:31" ht="18.75">
      <c r="A28" s="79" t="s">
        <v>41</v>
      </c>
      <c r="B28" s="58">
        <v>0.72799999999999998</v>
      </c>
      <c r="C28" s="58">
        <v>0.73899999999999999</v>
      </c>
      <c r="D28" s="58">
        <v>0.746</v>
      </c>
      <c r="E28" s="58">
        <v>0.75600000000000001</v>
      </c>
      <c r="F28" s="58">
        <v>0.76700000000000002</v>
      </c>
      <c r="G28" s="58">
        <v>0.77800000000000002</v>
      </c>
      <c r="H28" s="58">
        <v>0.78900000000000003</v>
      </c>
      <c r="I28" s="58">
        <v>0.8</v>
      </c>
      <c r="J28" s="58">
        <v>0.79700000000000004</v>
      </c>
      <c r="K28" s="58">
        <v>0.80800000000000005</v>
      </c>
      <c r="L28" s="58">
        <v>0.81699999999999995</v>
      </c>
      <c r="M28" s="58">
        <v>0.82399999999999995</v>
      </c>
      <c r="N28" s="58">
        <v>0.83199999999999996</v>
      </c>
      <c r="O28" s="58">
        <v>0.83899999999999997</v>
      </c>
      <c r="P28" s="58">
        <v>0.84699999999999998</v>
      </c>
      <c r="Q28" s="58">
        <v>0.85499999999999998</v>
      </c>
      <c r="R28" s="58">
        <v>0.86199999999999999</v>
      </c>
      <c r="S28" s="58">
        <v>0.86899999999999999</v>
      </c>
      <c r="T28" s="58">
        <v>0.874</v>
      </c>
      <c r="U28" s="58">
        <v>0.871</v>
      </c>
      <c r="V28" s="58">
        <v>0.88200000000000001</v>
      </c>
      <c r="W28" s="58">
        <v>0.88800000000000001</v>
      </c>
      <c r="X28" s="58">
        <v>0.89</v>
      </c>
      <c r="Y28" s="58">
        <v>0.89300000000000002</v>
      </c>
      <c r="Z28" s="58">
        <v>0.89600000000000002</v>
      </c>
      <c r="AA28" s="58">
        <v>0.89900000000000002</v>
      </c>
      <c r="AB28" s="58">
        <v>0.90100000000000002</v>
      </c>
      <c r="AC28" s="58">
        <v>0.90400000000000003</v>
      </c>
      <c r="AD28" s="58">
        <v>0.90600000000000003</v>
      </c>
      <c r="AE28" s="93">
        <f>AVERAGE(Z28:AD28)</f>
        <v>0.90119999999999989</v>
      </c>
    </row>
    <row r="29" spans="1:31" ht="18.75">
      <c r="A29" s="79" t="s">
        <v>43</v>
      </c>
      <c r="B29" s="58">
        <v>0.71799999999999997</v>
      </c>
      <c r="C29" s="58">
        <v>0.72799999999999998</v>
      </c>
      <c r="D29" s="58">
        <v>0.73899999999999999</v>
      </c>
      <c r="E29" s="58">
        <v>0.75</v>
      </c>
      <c r="F29" s="58">
        <v>0.76200000000000001</v>
      </c>
      <c r="G29" s="58">
        <v>0.77100000000000002</v>
      </c>
      <c r="H29" s="58">
        <v>0.78</v>
      </c>
      <c r="I29" s="58">
        <v>0.79100000000000004</v>
      </c>
      <c r="J29" s="58">
        <v>0.79600000000000004</v>
      </c>
      <c r="K29" s="58">
        <v>0.80700000000000005</v>
      </c>
      <c r="L29" s="58">
        <v>0.81799999999999995</v>
      </c>
      <c r="M29" s="58">
        <v>0.82199999999999995</v>
      </c>
      <c r="N29" s="58">
        <v>0.83</v>
      </c>
      <c r="O29" s="58">
        <v>0.83899999999999997</v>
      </c>
      <c r="P29" s="58">
        <v>0.84599999999999997</v>
      </c>
      <c r="Q29" s="58">
        <v>0.86899999999999999</v>
      </c>
      <c r="R29" s="58">
        <v>0.872</v>
      </c>
      <c r="S29" s="58">
        <v>0.879</v>
      </c>
      <c r="T29" s="58">
        <v>0.88400000000000001</v>
      </c>
      <c r="U29" s="58">
        <v>0.88500000000000001</v>
      </c>
      <c r="V29" s="58">
        <v>0.90900000000000003</v>
      </c>
      <c r="W29" s="58">
        <v>0.91400000000000003</v>
      </c>
      <c r="X29" s="58">
        <v>0.92</v>
      </c>
      <c r="Y29" s="58">
        <v>0.92300000000000004</v>
      </c>
      <c r="Z29" s="58">
        <v>0.92800000000000005</v>
      </c>
      <c r="AA29" s="58">
        <v>0.92900000000000005</v>
      </c>
      <c r="AB29" s="58">
        <v>0.93300000000000005</v>
      </c>
      <c r="AC29" s="58">
        <v>0.93400000000000005</v>
      </c>
      <c r="AD29" s="58">
        <v>0.93500000000000005</v>
      </c>
      <c r="AE29" s="93">
        <f>AVERAGE(Z29:AD29)</f>
        <v>0.93180000000000018</v>
      </c>
    </row>
    <row r="30" spans="1:31" ht="18.75">
      <c r="A30" s="79" t="s">
        <v>2</v>
      </c>
      <c r="B30" s="57">
        <v>0.57699999999999996</v>
      </c>
      <c r="C30" s="57">
        <v>0.59399999999999997</v>
      </c>
      <c r="D30" s="57">
        <v>0.60799999999999998</v>
      </c>
      <c r="E30" s="57">
        <v>0.61899999999999999</v>
      </c>
      <c r="F30" s="57">
        <v>0.629</v>
      </c>
      <c r="G30" s="57">
        <v>0.64</v>
      </c>
      <c r="H30" s="57">
        <v>0.64700000000000002</v>
      </c>
      <c r="I30" s="57">
        <v>0.65300000000000002</v>
      </c>
      <c r="J30" s="57">
        <v>0.65900000000000003</v>
      </c>
      <c r="K30" s="57">
        <v>0.66400000000000003</v>
      </c>
      <c r="L30" s="57">
        <v>0.67100000000000004</v>
      </c>
      <c r="M30" s="57">
        <v>0.67800000000000005</v>
      </c>
      <c r="N30" s="57">
        <v>0.68300000000000005</v>
      </c>
      <c r="O30" s="57">
        <v>0.69</v>
      </c>
      <c r="P30" s="57">
        <v>0.69099999999999995</v>
      </c>
      <c r="Q30" s="57">
        <v>0.69599999999999995</v>
      </c>
      <c r="R30" s="57">
        <v>0.73199999999999998</v>
      </c>
      <c r="S30" s="57">
        <v>0.73599999999999999</v>
      </c>
      <c r="T30" s="57">
        <v>0.74099999999999999</v>
      </c>
      <c r="U30" s="57">
        <v>0.747</v>
      </c>
      <c r="V30" s="57">
        <v>0.75600000000000001</v>
      </c>
      <c r="W30" s="57">
        <v>0.76700000000000002</v>
      </c>
      <c r="X30" s="57">
        <v>0.78200000000000003</v>
      </c>
      <c r="Y30" s="57">
        <v>0.78500000000000003</v>
      </c>
      <c r="Z30" s="57">
        <v>0.78800000000000003</v>
      </c>
      <c r="AA30" s="57">
        <v>0.78900000000000003</v>
      </c>
      <c r="AB30" s="57">
        <v>0.79900000000000004</v>
      </c>
      <c r="AC30" s="57">
        <v>0.79900000000000004</v>
      </c>
      <c r="AD30" s="57">
        <v>0.79700000000000004</v>
      </c>
      <c r="AE30" s="93">
        <f>AVERAGE(Z30:AD30)</f>
        <v>0.7944</v>
      </c>
    </row>
    <row r="31" spans="1:31" ht="18.75">
      <c r="A31" s="79" t="s">
        <v>1</v>
      </c>
      <c r="B31" s="58">
        <v>0.57899999999999996</v>
      </c>
      <c r="C31" s="58">
        <v>0.58299999999999996</v>
      </c>
      <c r="D31" s="58">
        <v>0.58899999999999997</v>
      </c>
      <c r="E31" s="58">
        <v>0.59699999999999998</v>
      </c>
      <c r="F31" s="58">
        <v>0.59899999999999998</v>
      </c>
      <c r="G31" s="58">
        <v>0.60699999999999998</v>
      </c>
      <c r="H31" s="58">
        <v>0.61499999999999999</v>
      </c>
      <c r="I31" s="58">
        <v>0.624</v>
      </c>
      <c r="J31" s="58">
        <v>0.63500000000000001</v>
      </c>
      <c r="K31" s="58">
        <v>0.64300000000000002</v>
      </c>
      <c r="L31" s="58">
        <v>0.65500000000000003</v>
      </c>
      <c r="M31" s="58">
        <v>0.66100000000000003</v>
      </c>
      <c r="N31" s="58">
        <v>0.67200000000000004</v>
      </c>
      <c r="O31" s="58">
        <v>0.67900000000000005</v>
      </c>
      <c r="P31" s="58">
        <v>0.68500000000000005</v>
      </c>
      <c r="Q31" s="58">
        <v>0.69099999999999995</v>
      </c>
      <c r="R31" s="58">
        <v>0.70199999999999996</v>
      </c>
      <c r="S31" s="58">
        <v>0.70899999999999996</v>
      </c>
      <c r="T31" s="58">
        <v>0.71399999999999997</v>
      </c>
      <c r="U31" s="58">
        <v>0.72099999999999997</v>
      </c>
      <c r="V31" s="58">
        <v>0.74299999999999999</v>
      </c>
      <c r="W31" s="58">
        <v>0.75900000000000001</v>
      </c>
      <c r="X31" s="58">
        <v>0.76500000000000001</v>
      </c>
      <c r="Y31" s="58">
        <v>0.78100000000000003</v>
      </c>
      <c r="Z31" s="58">
        <v>0.79200000000000004</v>
      </c>
      <c r="AA31" s="58">
        <v>0.8</v>
      </c>
      <c r="AB31" s="58">
        <v>0.8</v>
      </c>
      <c r="AC31" s="58">
        <v>0.80500000000000005</v>
      </c>
      <c r="AD31" s="58">
        <v>0.80700000000000005</v>
      </c>
      <c r="AE31" s="93">
        <f>AVERAGE(Z31:AD31)</f>
        <v>0.80080000000000007</v>
      </c>
    </row>
    <row r="32" spans="1:31" ht="18">
      <c r="A32" s="78"/>
    </row>
    <row r="33" spans="1:16" ht="18">
      <c r="A33" s="78"/>
    </row>
    <row r="34" spans="1:16" ht="18.75">
      <c r="A34" s="80" t="s">
        <v>4</v>
      </c>
      <c r="B34" s="60">
        <v>2008</v>
      </c>
      <c r="C34" s="60">
        <v>2009</v>
      </c>
      <c r="D34" s="60">
        <v>2010</v>
      </c>
      <c r="E34" s="60">
        <v>2011</v>
      </c>
      <c r="F34" s="60">
        <v>2012</v>
      </c>
      <c r="G34" s="60">
        <v>2013</v>
      </c>
      <c r="H34" s="60">
        <v>2014</v>
      </c>
      <c r="I34" s="60">
        <v>2015</v>
      </c>
      <c r="J34" s="60">
        <v>2016</v>
      </c>
      <c r="K34" s="60">
        <v>2017</v>
      </c>
      <c r="L34" s="60">
        <v>2018</v>
      </c>
      <c r="M34" s="60">
        <v>2019</v>
      </c>
      <c r="N34" s="60">
        <v>2020</v>
      </c>
      <c r="O34" s="61"/>
      <c r="P34" s="93" t="s">
        <v>81</v>
      </c>
    </row>
    <row r="35" spans="1:16" ht="18.75">
      <c r="A35" s="80" t="s">
        <v>2</v>
      </c>
      <c r="B35" s="59">
        <v>2.35</v>
      </c>
      <c r="C35" s="59">
        <v>2.2799999999999998</v>
      </c>
      <c r="D35" s="59">
        <v>2.4340000000000002</v>
      </c>
      <c r="E35" s="59">
        <v>2.556</v>
      </c>
      <c r="F35" s="59">
        <v>2.556</v>
      </c>
      <c r="G35" s="59">
        <v>2.5840000000000001</v>
      </c>
      <c r="H35" s="59">
        <v>2.3559999999999999</v>
      </c>
      <c r="I35" s="59">
        <v>2.5169999999999999</v>
      </c>
      <c r="J35" s="59">
        <v>2.4060000000000001</v>
      </c>
      <c r="K35" s="59">
        <v>2.351</v>
      </c>
      <c r="L35" s="59">
        <v>2.4390000000000001</v>
      </c>
      <c r="M35" s="59">
        <v>2.5350000000000001</v>
      </c>
      <c r="N35" s="59">
        <v>2.6720000000000002</v>
      </c>
      <c r="O35" s="61"/>
      <c r="P35" s="93">
        <f>AVERAGE(J35:N35)</f>
        <v>2.4805999999999999</v>
      </c>
    </row>
    <row r="36" spans="1:16" ht="18.75">
      <c r="A36" s="80" t="s">
        <v>42</v>
      </c>
      <c r="B36" s="59">
        <v>2.12</v>
      </c>
      <c r="C36" s="59">
        <v>2.12</v>
      </c>
      <c r="D36" s="59">
        <v>2.2469999999999999</v>
      </c>
      <c r="E36" s="59">
        <v>2.2370000000000001</v>
      </c>
      <c r="F36" s="59">
        <v>2.2370000000000001</v>
      </c>
      <c r="G36" s="59">
        <v>2.157</v>
      </c>
      <c r="H36" s="59">
        <v>2.1619999999999999</v>
      </c>
      <c r="I36" s="59">
        <v>2.1829999999999998</v>
      </c>
      <c r="J36" s="59">
        <v>2.169</v>
      </c>
      <c r="K36" s="59">
        <v>2.1779999999999999</v>
      </c>
      <c r="L36" s="59">
        <v>2.1669999999999998</v>
      </c>
      <c r="M36" s="59">
        <v>2.1469999999999998</v>
      </c>
      <c r="N36" s="59">
        <v>2.1659999999999999</v>
      </c>
      <c r="O36" s="61"/>
      <c r="P36" s="93">
        <f>AVERAGE(J36:N36)</f>
        <v>2.1654</v>
      </c>
    </row>
    <row r="37" spans="1:16" ht="18.75">
      <c r="A37" s="80" t="s">
        <v>41</v>
      </c>
      <c r="B37" s="59">
        <v>1.7769999999999999</v>
      </c>
      <c r="C37" s="59">
        <v>1.77</v>
      </c>
      <c r="D37" s="59">
        <v>1.8029999999999999</v>
      </c>
      <c r="E37" s="59">
        <v>1.9019999999999999</v>
      </c>
      <c r="F37" s="59">
        <v>1.9019999999999999</v>
      </c>
      <c r="G37" s="59">
        <v>1.772</v>
      </c>
      <c r="H37" s="59">
        <v>1.7809999999999999</v>
      </c>
      <c r="I37" s="59">
        <v>1.7470000000000001</v>
      </c>
      <c r="J37" s="59">
        <v>1.7809999999999999</v>
      </c>
      <c r="K37" s="59">
        <v>1.7769999999999999</v>
      </c>
      <c r="L37" s="59">
        <v>1.8049999999999999</v>
      </c>
      <c r="M37" s="59">
        <v>1.861</v>
      </c>
      <c r="N37" s="59">
        <v>1.829</v>
      </c>
      <c r="O37" s="61"/>
      <c r="P37" s="93">
        <f>AVERAGE(J37:N37)</f>
        <v>1.8105999999999998</v>
      </c>
    </row>
    <row r="38" spans="1:16" ht="18.75">
      <c r="A38" s="80" t="s">
        <v>43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61"/>
      <c r="P38" s="93"/>
    </row>
    <row r="39" spans="1:16" ht="18.75">
      <c r="A39" s="80" t="s">
        <v>1</v>
      </c>
      <c r="B39" s="59">
        <v>2.5150000000000001</v>
      </c>
      <c r="C39" s="59">
        <v>2.5150000000000001</v>
      </c>
      <c r="D39" s="59">
        <v>2.4870000000000001</v>
      </c>
      <c r="E39" s="59">
        <v>2.4409999999999998</v>
      </c>
      <c r="F39" s="59">
        <v>2.4409999999999998</v>
      </c>
      <c r="G39" s="59">
        <v>2.548</v>
      </c>
      <c r="H39" s="59">
        <v>2.5049999999999999</v>
      </c>
      <c r="I39" s="59">
        <v>2.5150000000000001</v>
      </c>
      <c r="J39" s="59">
        <v>2.6179999999999999</v>
      </c>
      <c r="K39" s="59">
        <v>2.7269999999999999</v>
      </c>
      <c r="L39" s="59">
        <v>2.8580000000000001</v>
      </c>
      <c r="M39" s="59">
        <v>2.952</v>
      </c>
      <c r="N39" s="60">
        <v>2.952</v>
      </c>
      <c r="O39" s="61"/>
      <c r="P39" s="93">
        <f>AVERAGE(J39:N39)</f>
        <v>2.8213999999999997</v>
      </c>
    </row>
    <row r="40" spans="1:16" ht="18">
      <c r="A40" s="78"/>
    </row>
    <row r="41" spans="1:16" ht="18">
      <c r="A41" s="78"/>
      <c r="B41" s="95"/>
    </row>
    <row r="42" spans="1:16" ht="18.75">
      <c r="A42" s="81" t="s">
        <v>5</v>
      </c>
      <c r="B42" s="62">
        <v>2013</v>
      </c>
      <c r="C42" s="54">
        <v>2014</v>
      </c>
      <c r="D42" s="54">
        <v>2015</v>
      </c>
      <c r="E42" s="54">
        <v>2016</v>
      </c>
      <c r="F42" s="54">
        <v>2017</v>
      </c>
      <c r="G42" s="54">
        <v>2018</v>
      </c>
      <c r="H42" s="54">
        <v>2019</v>
      </c>
      <c r="I42" s="93" t="s">
        <v>81</v>
      </c>
    </row>
    <row r="43" spans="1:16" ht="18.75">
      <c r="A43" s="81" t="s">
        <v>2</v>
      </c>
      <c r="B43" s="62">
        <v>27.3</v>
      </c>
      <c r="C43" s="54">
        <v>26.1</v>
      </c>
      <c r="D43" s="54">
        <v>28.4</v>
      </c>
      <c r="E43" s="54">
        <v>30.5</v>
      </c>
      <c r="F43" s="54">
        <v>32.1</v>
      </c>
      <c r="G43" s="54">
        <v>33.4</v>
      </c>
      <c r="H43" s="54">
        <v>34.4</v>
      </c>
      <c r="I43" s="93">
        <f>AVERAGE(D43:H43)</f>
        <v>31.76</v>
      </c>
    </row>
    <row r="44" spans="1:16" ht="18.75">
      <c r="A44" s="81" t="s">
        <v>42</v>
      </c>
      <c r="B44" s="62">
        <v>44.7</v>
      </c>
      <c r="C44" s="54">
        <v>46.6</v>
      </c>
      <c r="D44" s="54">
        <v>47.5</v>
      </c>
      <c r="E44" s="54">
        <v>50.6</v>
      </c>
      <c r="F44" s="54">
        <v>52.5</v>
      </c>
      <c r="G44" s="54">
        <v>53.1</v>
      </c>
      <c r="H44" s="54">
        <v>54.8</v>
      </c>
      <c r="I44" s="93">
        <f>AVERAGE(D44:H44)</f>
        <v>51.7</v>
      </c>
    </row>
    <row r="45" spans="1:16" ht="18.75">
      <c r="A45" s="81" t="s">
        <v>41</v>
      </c>
      <c r="B45" s="62">
        <v>53.3</v>
      </c>
      <c r="C45" s="54">
        <v>55.3</v>
      </c>
      <c r="D45" s="54">
        <v>56.3</v>
      </c>
      <c r="E45" s="54">
        <v>57.1</v>
      </c>
      <c r="F45" s="54">
        <v>57.7</v>
      </c>
      <c r="G45" s="54">
        <v>56.6</v>
      </c>
      <c r="H45" s="54"/>
      <c r="I45" s="93">
        <f>AVERAGE(D45:H45)</f>
        <v>56.925000000000004</v>
      </c>
    </row>
    <row r="46" spans="1:16" ht="18.75">
      <c r="A46" s="81" t="s">
        <v>43</v>
      </c>
      <c r="B46" s="62"/>
      <c r="C46" s="54"/>
      <c r="D46" s="54"/>
      <c r="E46" s="54"/>
      <c r="F46" s="54"/>
      <c r="G46" s="54"/>
      <c r="H46" s="54"/>
      <c r="I46" s="93">
        <v>58.4</v>
      </c>
    </row>
    <row r="47" spans="1:16" ht="18.75">
      <c r="A47" s="81" t="s">
        <v>1</v>
      </c>
      <c r="B47" s="62">
        <v>36</v>
      </c>
      <c r="C47" s="54">
        <v>38.200000000000003</v>
      </c>
      <c r="D47" s="54">
        <v>37.799999999999997</v>
      </c>
      <c r="E47" s="54">
        <v>39</v>
      </c>
      <c r="F47" s="54">
        <v>38.9</v>
      </c>
      <c r="G47" s="54">
        <v>37.4</v>
      </c>
      <c r="H47" s="54">
        <v>36.9</v>
      </c>
      <c r="I47" s="93">
        <f>AVERAGE(D47:H47)</f>
        <v>38</v>
      </c>
    </row>
    <row r="48" spans="1:16" ht="18">
      <c r="A48" s="89"/>
      <c r="B48" s="95"/>
      <c r="C48" s="95"/>
      <c r="D48" s="95"/>
      <c r="E48" s="95"/>
      <c r="F48" s="95"/>
      <c r="G48" s="95"/>
      <c r="H48" s="95"/>
    </row>
    <row r="49" spans="1:25" ht="18">
      <c r="A49" s="78"/>
    </row>
    <row r="50" spans="1:25" ht="18.75">
      <c r="A50" s="82" t="s">
        <v>6</v>
      </c>
      <c r="B50" s="63">
        <v>2011</v>
      </c>
      <c r="C50" s="63">
        <v>2012</v>
      </c>
      <c r="D50" s="63">
        <v>2013</v>
      </c>
      <c r="E50" s="64">
        <v>2014</v>
      </c>
      <c r="F50" s="63">
        <v>2015</v>
      </c>
      <c r="G50" s="63">
        <v>2016</v>
      </c>
      <c r="H50" s="63">
        <v>2017</v>
      </c>
      <c r="I50" s="63">
        <v>2018</v>
      </c>
      <c r="J50" s="63">
        <v>2019</v>
      </c>
      <c r="K50" s="96" t="s">
        <v>81</v>
      </c>
    </row>
    <row r="51" spans="1:25" ht="18.75">
      <c r="A51" s="82" t="s">
        <v>2</v>
      </c>
      <c r="B51" s="63">
        <v>4.2</v>
      </c>
      <c r="C51" s="64">
        <v>4.2</v>
      </c>
      <c r="D51" s="64">
        <v>4.3</v>
      </c>
      <c r="E51" s="64">
        <v>4.3</v>
      </c>
      <c r="F51" s="64">
        <v>3.9649999999999999</v>
      </c>
      <c r="G51" s="64">
        <v>4.24</v>
      </c>
      <c r="H51" s="64">
        <v>4.5209999999999999</v>
      </c>
      <c r="I51" s="64">
        <v>4.7480000000000002</v>
      </c>
      <c r="J51" s="64">
        <v>4.5780000000000003</v>
      </c>
      <c r="K51" s="96">
        <f>AVERAGE(F51:J51)</f>
        <v>4.4104000000000001</v>
      </c>
    </row>
    <row r="52" spans="1:25" ht="18.75">
      <c r="A52" s="82" t="s">
        <v>1</v>
      </c>
      <c r="B52" s="63">
        <v>5.3</v>
      </c>
      <c r="C52" s="64">
        <v>5.3</v>
      </c>
      <c r="D52" s="64">
        <v>5.5</v>
      </c>
      <c r="E52" s="64">
        <v>5.5</v>
      </c>
      <c r="F52" s="64">
        <v>5.2610000000000001</v>
      </c>
      <c r="G52" s="64">
        <v>5.1950000000000003</v>
      </c>
      <c r="H52" s="64">
        <v>4.9249999999999998</v>
      </c>
      <c r="I52" s="64">
        <v>5.282</v>
      </c>
      <c r="J52" s="64">
        <v>5.2619999999999996</v>
      </c>
      <c r="K52" s="96">
        <f>AVERAGE(F52:J52)</f>
        <v>5.1850000000000005</v>
      </c>
    </row>
    <row r="53" spans="1:25" ht="18">
      <c r="A53" s="78"/>
    </row>
    <row r="54" spans="1:25" ht="18">
      <c r="A54" s="78"/>
    </row>
    <row r="55" spans="1:25" ht="18.75">
      <c r="A55" s="83" t="s">
        <v>7</v>
      </c>
      <c r="B55" s="5">
        <v>1996</v>
      </c>
      <c r="C55" s="5">
        <v>1997</v>
      </c>
      <c r="D55" s="5">
        <v>1998</v>
      </c>
      <c r="E55" s="5">
        <v>1999</v>
      </c>
      <c r="F55" s="5">
        <v>2000</v>
      </c>
      <c r="G55" s="5">
        <v>2001</v>
      </c>
      <c r="H55" s="5">
        <v>2002</v>
      </c>
      <c r="I55" s="5">
        <v>2003</v>
      </c>
      <c r="J55" s="5">
        <v>2004</v>
      </c>
      <c r="K55" s="5">
        <v>2005</v>
      </c>
      <c r="L55" s="5">
        <v>2006</v>
      </c>
      <c r="M55" s="5">
        <v>2007</v>
      </c>
      <c r="N55" s="5">
        <v>2008</v>
      </c>
      <c r="O55" s="5">
        <v>2009</v>
      </c>
      <c r="P55" s="5">
        <v>2010</v>
      </c>
      <c r="Q55" s="5">
        <v>2011</v>
      </c>
      <c r="R55" s="5">
        <v>2012</v>
      </c>
      <c r="S55" s="5">
        <v>2013</v>
      </c>
      <c r="T55" s="5">
        <v>2014</v>
      </c>
      <c r="U55" s="5">
        <v>2015</v>
      </c>
      <c r="V55" s="5">
        <v>2016</v>
      </c>
      <c r="W55" s="5">
        <v>2017</v>
      </c>
      <c r="X55" s="5">
        <v>2018</v>
      </c>
      <c r="Y55" s="96" t="s">
        <v>81</v>
      </c>
    </row>
    <row r="56" spans="1:25" ht="18.75">
      <c r="A56" s="83" t="s">
        <v>42</v>
      </c>
      <c r="B56" s="104"/>
      <c r="C56" s="104"/>
      <c r="D56" s="104"/>
      <c r="E56" s="104"/>
      <c r="F56" s="104"/>
      <c r="G56" s="104"/>
      <c r="H56" s="104"/>
      <c r="I56" s="104"/>
      <c r="J56" s="104"/>
      <c r="K56" s="104">
        <v>-0.57839971666666667</v>
      </c>
      <c r="L56" s="104">
        <v>-0.59558014999999997</v>
      </c>
      <c r="M56" s="104">
        <v>-0.55678519999999998</v>
      </c>
      <c r="N56" s="104">
        <v>-0.52248116666666666</v>
      </c>
      <c r="O56" s="104">
        <v>-0.5337556</v>
      </c>
      <c r="P56" s="104">
        <v>-0.5757549833333333</v>
      </c>
      <c r="Q56" s="104">
        <v>-0.55747334999999998</v>
      </c>
      <c r="R56" s="104">
        <v>-0.56211791666666666</v>
      </c>
      <c r="S56" s="104">
        <v>-0.55707893333333336</v>
      </c>
      <c r="T56" s="104">
        <v>-0.47565046666666672</v>
      </c>
      <c r="U56" s="104">
        <v>-0.46409176666666668</v>
      </c>
      <c r="V56" s="104">
        <v>-0.42645933333333336</v>
      </c>
      <c r="W56" s="104">
        <v>-0.33263866666666669</v>
      </c>
      <c r="X56" s="104">
        <v>-0.30685853333333329</v>
      </c>
      <c r="Y56" s="96">
        <f>AVERAGE(T56:X56)</f>
        <v>-0.40113975333333335</v>
      </c>
    </row>
    <row r="57" spans="1:25" ht="18.75">
      <c r="A57" s="83" t="s">
        <v>41</v>
      </c>
      <c r="B57" s="104"/>
      <c r="C57" s="104"/>
      <c r="D57" s="104"/>
      <c r="E57" s="104"/>
      <c r="F57" s="104"/>
      <c r="G57" s="104"/>
      <c r="H57" s="104"/>
      <c r="I57" s="104"/>
      <c r="J57" s="104"/>
      <c r="K57" s="104">
        <v>0.77606558333333331</v>
      </c>
      <c r="L57" s="104">
        <v>0.68786663333333331</v>
      </c>
      <c r="M57" s="104">
        <v>0.83969260000000012</v>
      </c>
      <c r="N57" s="104">
        <v>0.70215086666666682</v>
      </c>
      <c r="O57" s="104">
        <v>0.76352551666666668</v>
      </c>
      <c r="P57" s="104">
        <v>0.77997566666666662</v>
      </c>
      <c r="Q57" s="104">
        <v>0.82250725000000013</v>
      </c>
      <c r="R57" s="104">
        <v>0.76759451666666667</v>
      </c>
      <c r="S57" s="104">
        <v>0.77824914999999983</v>
      </c>
      <c r="T57" s="104">
        <v>0.76755376666666664</v>
      </c>
      <c r="U57" s="104">
        <v>0.70396966666666672</v>
      </c>
      <c r="V57" s="104">
        <v>0.76671758333333317</v>
      </c>
      <c r="W57" s="104">
        <v>0.81387843333333343</v>
      </c>
      <c r="X57" s="104">
        <v>0.90988400000000003</v>
      </c>
      <c r="Y57" s="96">
        <f>AVERAGE(T57:X57)</f>
        <v>0.79240069000000002</v>
      </c>
    </row>
    <row r="58" spans="1:25" ht="18.75">
      <c r="A58" s="83" t="s">
        <v>43</v>
      </c>
      <c r="B58" s="104"/>
      <c r="C58" s="104"/>
      <c r="D58" s="104"/>
      <c r="E58" s="104"/>
      <c r="F58" s="104"/>
      <c r="G58" s="104"/>
      <c r="H58" s="104"/>
      <c r="I58" s="104"/>
      <c r="J58" s="104"/>
      <c r="K58" s="104">
        <v>1.4781186166666667</v>
      </c>
      <c r="L58" s="104">
        <v>1.4334914166666668</v>
      </c>
      <c r="M58" s="104">
        <v>1.4746862166666668</v>
      </c>
      <c r="N58" s="104">
        <v>1.5283497499999996</v>
      </c>
      <c r="O58" s="104">
        <v>1.4629763666666669</v>
      </c>
      <c r="P58" s="104">
        <v>1.4655679666666668</v>
      </c>
      <c r="Q58" s="104">
        <v>1.4689121333333333</v>
      </c>
      <c r="R58" s="104">
        <v>1.5680743999999998</v>
      </c>
      <c r="S58" s="104">
        <v>1.5429822333333334</v>
      </c>
      <c r="T58" s="104">
        <v>1.5666376</v>
      </c>
      <c r="U58" s="104">
        <v>1.5921805666666666</v>
      </c>
      <c r="V58" s="104">
        <v>1.6075845500000001</v>
      </c>
      <c r="W58" s="104">
        <v>1.6229172999999999</v>
      </c>
      <c r="X58" s="104">
        <v>1.6389473500000002</v>
      </c>
      <c r="Y58" s="96">
        <f>AVERAGE(T58:X58)</f>
        <v>1.6056534733333332</v>
      </c>
    </row>
    <row r="59" spans="1:25" ht="18.75">
      <c r="A59" s="83" t="s">
        <v>2</v>
      </c>
      <c r="B59" s="4">
        <v>-0.7862931833333332</v>
      </c>
      <c r="C59" s="4">
        <v>-0.7862931833333332</v>
      </c>
      <c r="D59" s="4">
        <v>-0.79813813333333339</v>
      </c>
      <c r="E59" s="4">
        <v>-0.79813813333333339</v>
      </c>
      <c r="F59" s="4">
        <v>-0.78554558333333346</v>
      </c>
      <c r="G59" s="4">
        <v>-0.78554558333333346</v>
      </c>
      <c r="H59" s="4">
        <v>-0.77506008333333332</v>
      </c>
      <c r="I59" s="4">
        <v>-0.76480626666666662</v>
      </c>
      <c r="J59" s="4">
        <v>-0.79139366666666666</v>
      </c>
      <c r="K59" s="4">
        <v>-0.86618990000000007</v>
      </c>
      <c r="L59" s="4">
        <v>-0.99397305000000002</v>
      </c>
      <c r="M59" s="4">
        <v>-1.0388792499999999</v>
      </c>
      <c r="N59" s="4">
        <v>-1.0774076500000001</v>
      </c>
      <c r="O59" s="4">
        <v>-1.205532</v>
      </c>
      <c r="P59" s="4">
        <v>-1.2323207333333333</v>
      </c>
      <c r="Q59" s="4">
        <v>-1.1327890666666667</v>
      </c>
      <c r="R59" s="4">
        <v>-1.0969561166666668</v>
      </c>
      <c r="S59" s="4">
        <v>-1.1185497666666666</v>
      </c>
      <c r="T59" s="4">
        <v>-1.0027006999999999</v>
      </c>
      <c r="U59" s="4">
        <v>-0.91464154999999991</v>
      </c>
      <c r="V59" s="4">
        <v>-0.82788956666666669</v>
      </c>
      <c r="W59" s="4">
        <v>-0.8540483499999999</v>
      </c>
      <c r="X59" s="4">
        <v>-1.0006251666666666</v>
      </c>
      <c r="Y59" s="96">
        <f>AVERAGE(T59:X59)</f>
        <v>-0.91998106666666657</v>
      </c>
    </row>
    <row r="60" spans="1:25" ht="18.75">
      <c r="A60" s="83" t="s">
        <v>1</v>
      </c>
      <c r="B60" s="4">
        <v>-0.27415536666666668</v>
      </c>
      <c r="C60" s="4">
        <v>-0.27415536666666668</v>
      </c>
      <c r="D60" s="4">
        <v>-0.32745878333333334</v>
      </c>
      <c r="E60" s="4">
        <v>-0.32745878333333334</v>
      </c>
      <c r="F60" s="4">
        <v>-0.15610736666666666</v>
      </c>
      <c r="G60" s="4">
        <v>-0.15610736666666666</v>
      </c>
      <c r="H60" s="4">
        <v>-0.23220843333333333</v>
      </c>
      <c r="I60" s="4">
        <v>-0.12282860000000001</v>
      </c>
      <c r="J60" s="4">
        <v>-0.13387436666666666</v>
      </c>
      <c r="K60" s="4">
        <v>-6.8845166666666657E-3</v>
      </c>
      <c r="L60" s="4">
        <v>-2.8157333333333326E-2</v>
      </c>
      <c r="M60" s="4">
        <v>-2.0085333333333334E-2</v>
      </c>
      <c r="N60" s="4">
        <v>-2.3565583333333352E-2</v>
      </c>
      <c r="O60" s="4">
        <v>-5.6102566666666666E-2</v>
      </c>
      <c r="P60" s="4">
        <v>-4.4425799999999981E-2</v>
      </c>
      <c r="Q60" s="4">
        <v>-4.3145900000000015E-2</v>
      </c>
      <c r="R60" s="4">
        <v>-6.7467216666666649E-2</v>
      </c>
      <c r="S60" s="4">
        <v>-8.8625316666666662E-2</v>
      </c>
      <c r="T60" s="4">
        <v>-0.13375604999999999</v>
      </c>
      <c r="U60" s="4">
        <v>-0.2725288833333333</v>
      </c>
      <c r="V60" s="4">
        <v>-0.46225978333333329</v>
      </c>
      <c r="W60" s="4">
        <v>-0.4712137666666667</v>
      </c>
      <c r="X60" s="4">
        <v>-0.47629749999999998</v>
      </c>
      <c r="Y60" s="96">
        <f>AVERAGE(T60:X60)</f>
        <v>-0.36321119666666662</v>
      </c>
    </row>
    <row r="61" spans="1:25" ht="18">
      <c r="A61" s="78"/>
    </row>
    <row r="62" spans="1:25" ht="18">
      <c r="A62" s="78"/>
    </row>
    <row r="63" spans="1:25" ht="18.75">
      <c r="A63" s="84" t="s">
        <v>8</v>
      </c>
      <c r="B63" s="66">
        <v>2010</v>
      </c>
      <c r="C63" s="66">
        <v>2011</v>
      </c>
      <c r="D63" s="66">
        <v>2012</v>
      </c>
      <c r="E63" s="66">
        <v>2013</v>
      </c>
      <c r="F63" s="66">
        <v>2014</v>
      </c>
      <c r="G63" s="66">
        <v>2015</v>
      </c>
      <c r="H63" s="66">
        <v>2016</v>
      </c>
      <c r="I63" s="66">
        <v>2017</v>
      </c>
      <c r="J63" s="66">
        <v>2018</v>
      </c>
      <c r="K63" s="66">
        <v>2019</v>
      </c>
      <c r="L63" s="66">
        <v>2020</v>
      </c>
      <c r="M63" s="96" t="s">
        <v>81</v>
      </c>
    </row>
    <row r="64" spans="1:25" ht="18.75">
      <c r="A64" s="84" t="s">
        <v>42</v>
      </c>
      <c r="B64" s="66"/>
      <c r="C64" s="66"/>
      <c r="D64" s="66"/>
      <c r="E64" s="66"/>
      <c r="F64" s="66">
        <v>59.950450000000004</v>
      </c>
      <c r="G64" s="66">
        <v>61.630350000000007</v>
      </c>
      <c r="H64" s="66">
        <v>63.121060000000007</v>
      </c>
      <c r="I64" s="66">
        <v>64.635530000000003</v>
      </c>
      <c r="J64" s="66">
        <v>65.204910000000012</v>
      </c>
      <c r="K64" s="66">
        <v>73.950710000000001</v>
      </c>
      <c r="L64" s="66">
        <v>77.931300000000007</v>
      </c>
      <c r="M64" s="96">
        <f>AVERAGE(H64:L64)</f>
        <v>68.968702000000008</v>
      </c>
    </row>
    <row r="65" spans="1:13" ht="18.75">
      <c r="A65" s="84" t="s">
        <v>41</v>
      </c>
      <c r="B65" s="66"/>
      <c r="C65" s="66"/>
      <c r="D65" s="66"/>
      <c r="E65" s="66"/>
      <c r="F65" s="66">
        <v>82.320060000000012</v>
      </c>
      <c r="G65" s="66">
        <v>82.77058000000001</v>
      </c>
      <c r="H65" s="66">
        <v>83.089520000000007</v>
      </c>
      <c r="I65" s="66">
        <v>83.965550000000007</v>
      </c>
      <c r="J65" s="66">
        <v>83.965250000000012</v>
      </c>
      <c r="K65" s="66">
        <v>83.960460000000012</v>
      </c>
      <c r="L65" s="66">
        <v>84.000830000000008</v>
      </c>
      <c r="M65" s="96">
        <f>AVERAGE(H65:L65)</f>
        <v>83.796322000000004</v>
      </c>
    </row>
    <row r="66" spans="1:13" ht="18">
      <c r="A66" s="85" t="s">
        <v>2</v>
      </c>
      <c r="B66" s="67">
        <v>55.879220000000004</v>
      </c>
      <c r="C66" s="67">
        <v>56.083820000000003</v>
      </c>
      <c r="D66" s="67">
        <v>56.172610000000006</v>
      </c>
      <c r="E66" s="67">
        <v>57.636020000000002</v>
      </c>
      <c r="F66" s="67">
        <v>56.513220000000004</v>
      </c>
      <c r="G66" s="67">
        <v>57.301190000000005</v>
      </c>
      <c r="H66" s="67">
        <v>55.377430000000004</v>
      </c>
      <c r="I66" s="68">
        <v>55.707860000000004</v>
      </c>
      <c r="J66" s="68">
        <v>55.696780000000004</v>
      </c>
      <c r="K66" s="68">
        <v>58.639150000000008</v>
      </c>
      <c r="L66" s="68">
        <v>58.546580000000006</v>
      </c>
      <c r="M66" s="98">
        <f>AVERAGE(H66:L66)</f>
        <v>56.793559999999999</v>
      </c>
    </row>
    <row r="67" spans="1:13" ht="18">
      <c r="A67" s="85" t="s">
        <v>1</v>
      </c>
      <c r="B67" s="67">
        <v>65.326660000000004</v>
      </c>
      <c r="C67" s="67">
        <v>65.299130000000005</v>
      </c>
      <c r="D67" s="67">
        <v>65.661370000000005</v>
      </c>
      <c r="E67" s="67">
        <v>66.774930000000012</v>
      </c>
      <c r="F67" s="67">
        <v>67.818070000000006</v>
      </c>
      <c r="G67" s="67">
        <v>68.846630000000005</v>
      </c>
      <c r="H67" s="67">
        <v>69.144680000000008</v>
      </c>
      <c r="I67" s="68">
        <v>69.378820000000005</v>
      </c>
      <c r="J67" s="68">
        <v>70.914500000000004</v>
      </c>
      <c r="K67" s="68">
        <v>75.252480000000006</v>
      </c>
      <c r="L67" s="68">
        <v>76.79104000000001</v>
      </c>
      <c r="M67" s="98">
        <f>AVERAGE(H67:L67)</f>
        <v>72.296304000000006</v>
      </c>
    </row>
    <row r="68" spans="1:13" ht="18">
      <c r="A68" s="78"/>
    </row>
    <row r="69" spans="1:13" ht="18">
      <c r="A69" s="78"/>
    </row>
    <row r="70" spans="1:13" ht="18.75">
      <c r="A70" s="86" t="s">
        <v>9</v>
      </c>
      <c r="B70" s="65">
        <v>2013</v>
      </c>
      <c r="C70" s="65">
        <v>2014</v>
      </c>
      <c r="D70" s="65">
        <v>2015</v>
      </c>
      <c r="E70" s="65">
        <v>2016</v>
      </c>
      <c r="F70" s="65">
        <v>2017</v>
      </c>
      <c r="G70" s="65">
        <v>2018</v>
      </c>
      <c r="H70" s="65">
        <v>2019</v>
      </c>
      <c r="I70" s="65">
        <v>2020</v>
      </c>
      <c r="J70" s="96" t="s">
        <v>81</v>
      </c>
    </row>
    <row r="71" spans="1:13" ht="18.75">
      <c r="A71" s="86" t="s">
        <v>41</v>
      </c>
      <c r="B71" s="65"/>
      <c r="C71" s="65"/>
      <c r="D71" s="65">
        <v>5.984</v>
      </c>
      <c r="E71" s="65">
        <v>5.835</v>
      </c>
      <c r="F71" s="65">
        <v>5.8379998207092303</v>
      </c>
      <c r="G71" s="65">
        <v>5.875</v>
      </c>
      <c r="H71" s="65">
        <v>5.8949999999999996</v>
      </c>
      <c r="I71" s="65">
        <v>5.8719999999999999</v>
      </c>
      <c r="J71" s="96">
        <f>AVERAGE(E71:I71)</f>
        <v>5.8629999641418458</v>
      </c>
    </row>
    <row r="72" spans="1:13" ht="18.75">
      <c r="A72" s="86" t="s">
        <v>42</v>
      </c>
      <c r="B72" s="65"/>
      <c r="C72" s="65"/>
      <c r="D72" s="65">
        <v>5.14</v>
      </c>
      <c r="E72" s="65">
        <v>5.2450000000000001</v>
      </c>
      <c r="F72" s="65">
        <v>5.2729997634887704</v>
      </c>
      <c r="G72" s="65">
        <v>5.2460000000000004</v>
      </c>
      <c r="H72" s="65">
        <v>5.1909999999999998</v>
      </c>
      <c r="I72" s="65">
        <v>5.1239999999999997</v>
      </c>
      <c r="J72" s="96">
        <f>AVERAGE(E72:I72)</f>
        <v>5.2157999526977541</v>
      </c>
    </row>
    <row r="73" spans="1:13" ht="18.75">
      <c r="A73" s="86" t="s">
        <v>2</v>
      </c>
      <c r="B73" s="65">
        <v>4.6429999999999998</v>
      </c>
      <c r="C73" s="65">
        <v>4.6429999999999998</v>
      </c>
      <c r="D73" s="65">
        <v>4.6859999999999999</v>
      </c>
      <c r="E73" s="65">
        <v>4.8129999999999997</v>
      </c>
      <c r="F73" s="65">
        <v>4.6919999122619602</v>
      </c>
      <c r="G73" s="65">
        <v>4.7069999999999999</v>
      </c>
      <c r="H73" s="65">
        <v>4.548</v>
      </c>
      <c r="I73" s="65">
        <v>4.6719999999999997</v>
      </c>
      <c r="J73" s="96">
        <f>AVERAGE(E73:I73)</f>
        <v>4.6863999824523921</v>
      </c>
    </row>
    <row r="74" spans="1:13" ht="18.75">
      <c r="A74" s="86" t="s">
        <v>1</v>
      </c>
      <c r="B74" s="65">
        <v>5.3449999999999998</v>
      </c>
      <c r="C74" s="65">
        <v>5.3449999999999998</v>
      </c>
      <c r="D74" s="65">
        <v>5.3319999999999999</v>
      </c>
      <c r="E74" s="65">
        <v>5.3890000000000002</v>
      </c>
      <c r="F74" s="65">
        <v>5.5</v>
      </c>
      <c r="G74" s="65">
        <v>5.4829999999999997</v>
      </c>
      <c r="H74" s="65">
        <v>5.3730000000000002</v>
      </c>
      <c r="I74" s="65">
        <v>5.1319999999999997</v>
      </c>
      <c r="J74" s="96">
        <f>AVERAGE(E74:I74)</f>
        <v>5.3754000000000008</v>
      </c>
    </row>
    <row r="75" spans="1:13" ht="18">
      <c r="A75" s="78"/>
    </row>
    <row r="76" spans="1:13" ht="18">
      <c r="A76" s="78"/>
    </row>
    <row r="77" spans="1:13" ht="18.75">
      <c r="A77" s="87" t="s">
        <v>10</v>
      </c>
      <c r="B77" s="60">
        <v>2009</v>
      </c>
      <c r="C77" s="60">
        <v>2010</v>
      </c>
      <c r="D77" s="60">
        <v>2011</v>
      </c>
      <c r="E77" s="60">
        <v>2012</v>
      </c>
      <c r="F77" s="60">
        <v>2013</v>
      </c>
      <c r="G77" s="60">
        <v>2014</v>
      </c>
      <c r="H77" s="60">
        <v>2015</v>
      </c>
      <c r="I77" s="60">
        <v>2016</v>
      </c>
      <c r="J77" s="60">
        <v>2017</v>
      </c>
      <c r="K77" s="60">
        <v>2018</v>
      </c>
      <c r="L77" s="60">
        <v>2019</v>
      </c>
      <c r="M77" s="96" t="s">
        <v>81</v>
      </c>
    </row>
    <row r="78" spans="1:13" ht="18.75">
      <c r="A78" s="87" t="s">
        <v>43</v>
      </c>
      <c r="B78" s="60">
        <v>77.580403933200003</v>
      </c>
      <c r="C78" s="60">
        <v>77.637563714600006</v>
      </c>
      <c r="D78" s="60">
        <v>77.588676862100002</v>
      </c>
      <c r="E78" s="60">
        <v>77.088693714200005</v>
      </c>
      <c r="F78" s="60">
        <v>77.819142498800005</v>
      </c>
      <c r="G78" s="60">
        <v>77.974479540100006</v>
      </c>
      <c r="H78" s="60">
        <v>78.731154560799993</v>
      </c>
      <c r="I78" s="60">
        <v>78.925810687899997</v>
      </c>
      <c r="J78" s="60">
        <v>79.095332032900004</v>
      </c>
      <c r="K78" s="60">
        <v>79.440001349400006</v>
      </c>
      <c r="L78" s="60">
        <v>79.147953568800006</v>
      </c>
      <c r="M78" s="96">
        <f>AVERAGE(H78:L78)</f>
        <v>79.06805043995999</v>
      </c>
    </row>
    <row r="79" spans="1:13" ht="18.75">
      <c r="A79" s="87" t="s">
        <v>42</v>
      </c>
      <c r="B79" s="60">
        <v>56.693893277599997</v>
      </c>
      <c r="C79" s="60">
        <v>57.161582593699997</v>
      </c>
      <c r="D79" s="60">
        <v>57.534822852200001</v>
      </c>
      <c r="E79" s="60">
        <v>57.672400956200001</v>
      </c>
      <c r="F79" s="60">
        <v>58.078148531099998</v>
      </c>
      <c r="G79" s="60">
        <v>58.246011481799997</v>
      </c>
      <c r="H79" s="60">
        <v>58.824200884500002</v>
      </c>
      <c r="I79" s="60">
        <v>59.145648039400001</v>
      </c>
      <c r="J79" s="60">
        <v>59.355763620300003</v>
      </c>
      <c r="K79" s="60">
        <v>60.047341643999999</v>
      </c>
      <c r="L79" s="60">
        <v>60.755682084599997</v>
      </c>
      <c r="M79" s="96">
        <f>AVERAGE(H79:L79)</f>
        <v>59.625727254560005</v>
      </c>
    </row>
    <row r="80" spans="1:13" ht="18.75">
      <c r="A80" s="87" t="s">
        <v>41</v>
      </c>
      <c r="B80" s="60">
        <v>71.812458180799993</v>
      </c>
      <c r="C80" s="60">
        <v>71.316149702600001</v>
      </c>
      <c r="D80" s="60">
        <v>72.677071247000001</v>
      </c>
      <c r="E80" s="60">
        <v>72.636986538900004</v>
      </c>
      <c r="F80" s="60">
        <v>72.449237308799994</v>
      </c>
      <c r="G80" s="60">
        <v>72.760800722599996</v>
      </c>
      <c r="H80" s="60">
        <v>72.097698204099999</v>
      </c>
      <c r="I80" s="60">
        <v>71.709823565199997</v>
      </c>
      <c r="J80" s="60">
        <v>72.220334506100002</v>
      </c>
      <c r="K80" s="60">
        <v>72.587193506700004</v>
      </c>
      <c r="L80" s="60">
        <v>73.0379481298</v>
      </c>
      <c r="M80" s="96">
        <f>AVERAGE(H80:L80)</f>
        <v>72.330599582379989</v>
      </c>
    </row>
    <row r="81" spans="1:33" ht="18.75">
      <c r="A81" s="87" t="s">
        <v>2</v>
      </c>
      <c r="B81" s="69">
        <v>46.722445038300002</v>
      </c>
      <c r="C81" s="69">
        <v>45.911202215899998</v>
      </c>
      <c r="D81" s="69">
        <v>45.645813788600002</v>
      </c>
      <c r="E81" s="69">
        <v>47.120107835900001</v>
      </c>
      <c r="F81" s="69">
        <v>47.012178792999997</v>
      </c>
      <c r="G81" s="69">
        <v>46.958471232100003</v>
      </c>
      <c r="H81" s="69">
        <v>46.805522070599999</v>
      </c>
      <c r="I81" s="69">
        <v>47.181525719500002</v>
      </c>
      <c r="J81" s="69">
        <v>48.046894248800001</v>
      </c>
      <c r="K81" s="69">
        <v>49.0939676319</v>
      </c>
      <c r="L81" s="69">
        <v>48.314141859800003</v>
      </c>
      <c r="M81" s="100">
        <f>AVERAGE(H81:L81)</f>
        <v>47.888410306120008</v>
      </c>
    </row>
    <row r="82" spans="1:33" ht="18.75">
      <c r="A82" s="87" t="s">
        <v>1</v>
      </c>
      <c r="B82" s="69">
        <v>54.742612373</v>
      </c>
      <c r="C82" s="69">
        <v>55.031273458400001</v>
      </c>
      <c r="D82" s="69">
        <v>55.988724791099997</v>
      </c>
      <c r="E82" s="69">
        <v>56.4017342414</v>
      </c>
      <c r="F82" s="69">
        <v>56.976149784999997</v>
      </c>
      <c r="G82" s="69">
        <v>57.5600357167</v>
      </c>
      <c r="H82" s="69">
        <v>58.852321118600003</v>
      </c>
      <c r="I82" s="69">
        <v>56.986344350499998</v>
      </c>
      <c r="J82" s="69">
        <v>57.0097665885</v>
      </c>
      <c r="K82" s="69">
        <v>56.3224499982</v>
      </c>
      <c r="L82" s="69">
        <v>55.417770358299997</v>
      </c>
      <c r="M82" s="100">
        <f>AVERAGE(H82:L82)</f>
        <v>56.917730482820005</v>
      </c>
    </row>
    <row r="83" spans="1:33" ht="18">
      <c r="A83" s="78"/>
    </row>
    <row r="84" spans="1:33" ht="18">
      <c r="A84" s="78"/>
    </row>
    <row r="85" spans="1:33" ht="18.75">
      <c r="A85" s="88" t="s">
        <v>26</v>
      </c>
      <c r="B85" s="70">
        <v>1990</v>
      </c>
      <c r="C85" s="70">
        <v>1991</v>
      </c>
      <c r="D85" s="70">
        <v>1992</v>
      </c>
      <c r="E85" s="70">
        <v>1993</v>
      </c>
      <c r="F85" s="70">
        <v>1994</v>
      </c>
      <c r="G85" s="70">
        <v>1995</v>
      </c>
      <c r="H85" s="70">
        <v>1996</v>
      </c>
      <c r="I85" s="70">
        <v>1997</v>
      </c>
      <c r="J85" s="70">
        <v>1998</v>
      </c>
      <c r="K85" s="70">
        <v>1999</v>
      </c>
      <c r="L85" s="70">
        <v>2000</v>
      </c>
      <c r="M85" s="70">
        <v>2001</v>
      </c>
      <c r="N85" s="70">
        <v>2002</v>
      </c>
      <c r="O85" s="70">
        <v>2003</v>
      </c>
      <c r="P85" s="70">
        <v>2004</v>
      </c>
      <c r="Q85" s="70">
        <v>2005</v>
      </c>
      <c r="R85" s="70">
        <v>2006</v>
      </c>
      <c r="S85" s="70">
        <v>2007</v>
      </c>
      <c r="T85" s="70">
        <v>2008</v>
      </c>
      <c r="U85" s="70">
        <v>2009</v>
      </c>
      <c r="V85" s="70">
        <v>2010</v>
      </c>
      <c r="W85" s="70">
        <v>2011</v>
      </c>
      <c r="X85" s="70">
        <v>2012</v>
      </c>
      <c r="Y85" s="70">
        <v>2013</v>
      </c>
      <c r="Z85" s="70">
        <v>2014</v>
      </c>
      <c r="AA85" s="70">
        <v>2015</v>
      </c>
      <c r="AB85" s="70">
        <v>2016</v>
      </c>
      <c r="AC85" s="70">
        <v>2017</v>
      </c>
      <c r="AD85" s="70">
        <v>2018</v>
      </c>
      <c r="AE85" s="70">
        <v>2019</v>
      </c>
      <c r="AF85" s="96" t="s">
        <v>81</v>
      </c>
    </row>
    <row r="86" spans="1:33" ht="18.75">
      <c r="A86" s="88" t="s">
        <v>2</v>
      </c>
      <c r="B86" s="18">
        <v>5.0794982117462597</v>
      </c>
      <c r="C86" s="18">
        <v>4.9957070217734998</v>
      </c>
      <c r="D86" s="18">
        <v>5.0908653697951101</v>
      </c>
      <c r="E86" s="18">
        <v>5.56304638740085</v>
      </c>
      <c r="F86" s="18">
        <v>6.2827256134293696</v>
      </c>
      <c r="G86" s="18">
        <v>6.4213626570939102</v>
      </c>
      <c r="H86" s="18">
        <v>5.8240580831767703</v>
      </c>
      <c r="I86" s="18">
        <v>6.4310929967570898</v>
      </c>
      <c r="J86" s="18">
        <v>6.4159572987073101</v>
      </c>
      <c r="K86" s="18">
        <v>7.1353135622330202</v>
      </c>
      <c r="L86" s="18">
        <v>6.5704109184370498</v>
      </c>
      <c r="M86" s="18">
        <v>6.9620374431893604</v>
      </c>
      <c r="N86" s="18">
        <v>6.6627085936205797</v>
      </c>
      <c r="O86" s="18">
        <v>6.3378233300360796</v>
      </c>
      <c r="P86" s="18">
        <v>6.6244188802770099</v>
      </c>
      <c r="Q86" s="18">
        <v>7.05480557026016</v>
      </c>
      <c r="R86" s="18">
        <v>6.9753764462579202</v>
      </c>
      <c r="S86" s="18">
        <v>6.7637393317000196</v>
      </c>
      <c r="T86" s="18">
        <v>7.1820034580292198</v>
      </c>
      <c r="U86" s="18">
        <v>7.0060627247902403</v>
      </c>
      <c r="V86" s="18">
        <v>6.5754724393400803</v>
      </c>
      <c r="W86" s="18">
        <v>6.4629031224006699</v>
      </c>
      <c r="X86" s="18">
        <v>7.2004469455989302</v>
      </c>
      <c r="Y86" s="18">
        <v>7.4835471739595203</v>
      </c>
      <c r="Z86" s="18">
        <v>7.6976692943134202</v>
      </c>
      <c r="AA86" s="18">
        <v>7.7941162986058101</v>
      </c>
      <c r="AB86" s="71"/>
      <c r="AC86" s="71"/>
      <c r="AD86" s="71"/>
      <c r="AE86" s="72"/>
      <c r="AF86" s="100">
        <f>AVERAGE(AA86:AE86)</f>
        <v>7.7941162986058101</v>
      </c>
    </row>
    <row r="87" spans="1:33" ht="18.75">
      <c r="A87" s="88" t="s">
        <v>1</v>
      </c>
      <c r="B87" s="26">
        <v>3.8310136578383398</v>
      </c>
      <c r="C87" s="26">
        <v>3.7500910661883</v>
      </c>
      <c r="D87" s="26">
        <v>3.68372670642542</v>
      </c>
      <c r="E87" s="26">
        <v>3.6300216343451499</v>
      </c>
      <c r="F87" s="26">
        <v>3.7624344250556101</v>
      </c>
      <c r="G87" s="26">
        <v>3.8201017783006699</v>
      </c>
      <c r="H87" s="26">
        <v>3.8668589258166901</v>
      </c>
      <c r="I87" s="26">
        <v>3.7817642665274902</v>
      </c>
      <c r="J87" s="26">
        <v>3.7668049950900699</v>
      </c>
      <c r="K87" s="26">
        <v>3.8275941259961801</v>
      </c>
      <c r="L87" s="26">
        <v>3.8648089328949098</v>
      </c>
      <c r="M87" s="26">
        <v>3.7897503218441901</v>
      </c>
      <c r="N87" s="26">
        <v>3.7722657769215</v>
      </c>
      <c r="O87" s="26">
        <v>3.7600430022746898</v>
      </c>
      <c r="P87" s="26">
        <v>3.56384350610251</v>
      </c>
      <c r="Q87" s="26">
        <v>3.4295872272171199</v>
      </c>
      <c r="R87" s="26">
        <v>3.549050880167</v>
      </c>
      <c r="S87" s="26">
        <v>3.6400291314673998</v>
      </c>
      <c r="T87" s="26">
        <v>3.56957673171951</v>
      </c>
      <c r="U87" s="26">
        <v>3.7156134969111601</v>
      </c>
      <c r="V87" s="26">
        <v>3.7125748416414002</v>
      </c>
      <c r="W87" s="26">
        <v>3.6322776200812799</v>
      </c>
      <c r="X87" s="26">
        <v>3.70441972399921</v>
      </c>
      <c r="Y87" s="26">
        <v>3.5166975112114698</v>
      </c>
      <c r="Z87" s="26">
        <v>2.9479276284529399</v>
      </c>
      <c r="AA87" s="26">
        <v>2.94674667903349</v>
      </c>
      <c r="AB87" s="71"/>
      <c r="AC87" s="71"/>
      <c r="AD87" s="71"/>
      <c r="AE87" s="72"/>
      <c r="AF87" s="100">
        <f>AVERAGE(W87:AA87)</f>
        <v>3.3496138325556779</v>
      </c>
      <c r="AG87" s="99">
        <f>AVERAGE(AF86:AF90)</f>
        <v>5.6362641852839372</v>
      </c>
    </row>
    <row r="88" spans="1:33" ht="18.75">
      <c r="A88" s="88" t="s">
        <v>41</v>
      </c>
      <c r="B88" s="26">
        <v>7.50756669416874</v>
      </c>
      <c r="C88" s="26">
        <v>7.3551856651229004</v>
      </c>
      <c r="D88" s="26">
        <v>7.7205509601021696</v>
      </c>
      <c r="E88" s="26">
        <v>8.1450677084554499</v>
      </c>
      <c r="F88" s="26">
        <v>7.95156445444713</v>
      </c>
      <c r="G88" s="26">
        <v>8.0008721966987295</v>
      </c>
      <c r="H88" s="26">
        <v>8.1104394430080298</v>
      </c>
      <c r="I88" s="26">
        <v>8.3483209422122009</v>
      </c>
      <c r="J88" s="26">
        <v>8.0842169677749904</v>
      </c>
      <c r="K88" s="26">
        <v>8.0735934903803095</v>
      </c>
      <c r="L88" s="26">
        <v>8.0736932860506307</v>
      </c>
      <c r="M88" s="26">
        <v>7.8432394716169203</v>
      </c>
      <c r="N88" s="26">
        <v>7.5926463320772903</v>
      </c>
      <c r="O88" s="26">
        <v>7.5266432262504601</v>
      </c>
      <c r="P88" s="26">
        <v>7.3723309756017397</v>
      </c>
      <c r="Q88" s="26">
        <v>7.1608096610495604</v>
      </c>
      <c r="R88" s="26">
        <v>6.9200093927980602</v>
      </c>
      <c r="S88" s="26">
        <v>6.82262232071621</v>
      </c>
      <c r="T88" s="26">
        <v>6.7803641420061904</v>
      </c>
      <c r="U88" s="26">
        <v>6.7966871018216901</v>
      </c>
      <c r="V88" s="26">
        <v>6.9597978500922801</v>
      </c>
      <c r="W88" s="26">
        <v>6.9938685359558503</v>
      </c>
      <c r="X88" s="26">
        <v>6.9152461219047998</v>
      </c>
      <c r="Y88" s="26">
        <v>6.7295985582811202</v>
      </c>
      <c r="Z88" s="26">
        <v>6.6255328089856196</v>
      </c>
      <c r="AA88" s="26">
        <v>6.5480533716495399</v>
      </c>
      <c r="AB88" s="71"/>
      <c r="AC88" s="71"/>
      <c r="AD88" s="71"/>
      <c r="AE88" s="102"/>
      <c r="AF88" s="100">
        <f>AVERAGE(W88:AA88)</f>
        <v>6.7624598793553856</v>
      </c>
    </row>
    <row r="89" spans="1:33" ht="18.75">
      <c r="A89" s="88" t="s">
        <v>43</v>
      </c>
      <c r="B89" s="26">
        <v>4.6176098344795298</v>
      </c>
      <c r="C89" s="26">
        <v>4.9059212162686698</v>
      </c>
      <c r="D89" s="26">
        <v>5.1984100743288799</v>
      </c>
      <c r="E89" s="26">
        <v>5.7163208283250402</v>
      </c>
      <c r="F89" s="26">
        <v>6.2602137627750301</v>
      </c>
      <c r="G89" s="26">
        <v>4.9902210126500703</v>
      </c>
      <c r="H89" s="26">
        <v>4.8445152164381797</v>
      </c>
      <c r="I89" s="26">
        <v>5.0225177216957198</v>
      </c>
      <c r="J89" s="26">
        <v>4.6429097990549097</v>
      </c>
      <c r="K89" s="26">
        <v>3.98106413304343</v>
      </c>
      <c r="L89" s="26">
        <v>3.7579572904814702</v>
      </c>
      <c r="M89" s="26">
        <v>4.3277080837564297</v>
      </c>
      <c r="N89" s="26">
        <v>4.1258059295965896</v>
      </c>
      <c r="O89" s="26">
        <v>4.7770120297079401</v>
      </c>
      <c r="P89" s="26">
        <v>5.2351308157881098</v>
      </c>
      <c r="Q89" s="26">
        <v>3.42033964401003</v>
      </c>
      <c r="R89" s="26">
        <v>3.3754795697916</v>
      </c>
      <c r="S89" s="26">
        <v>2.86546521704931</v>
      </c>
      <c r="T89" s="26">
        <v>3.2336678253559601</v>
      </c>
      <c r="U89" s="26">
        <v>2.8024266632650598</v>
      </c>
      <c r="V89" s="26">
        <v>2.9106262132071898</v>
      </c>
      <c r="W89" s="26">
        <v>2.8332074159014899</v>
      </c>
      <c r="X89" s="26">
        <v>2.7063920665552099</v>
      </c>
      <c r="Y89" s="26">
        <v>2.6180998361067598</v>
      </c>
      <c r="Z89" s="26">
        <v>2.4848573002158498</v>
      </c>
      <c r="AA89" s="26">
        <v>2.3948555130214402</v>
      </c>
      <c r="AB89" s="71"/>
      <c r="AC89" s="71"/>
      <c r="AD89" s="71"/>
      <c r="AE89" s="102"/>
      <c r="AF89" s="100">
        <f>AVERAGE(W89:AA89)</f>
        <v>2.6074824263601499</v>
      </c>
    </row>
    <row r="90" spans="1:33" ht="18.75">
      <c r="A90" s="88" t="s">
        <v>42</v>
      </c>
      <c r="B90" s="26">
        <v>21.1794428300169</v>
      </c>
      <c r="C90" s="26">
        <v>18.877110712943001</v>
      </c>
      <c r="D90" s="26">
        <v>17.0805466608847</v>
      </c>
      <c r="E90" s="26">
        <v>15.879745620574299</v>
      </c>
      <c r="F90" s="26">
        <v>14.7079958674348</v>
      </c>
      <c r="G90" s="26">
        <v>14.2276292342512</v>
      </c>
      <c r="H90" s="26">
        <v>13.3030465045035</v>
      </c>
      <c r="I90" s="26">
        <v>12.1664364132538</v>
      </c>
      <c r="J90" s="26">
        <v>11.357959507554501</v>
      </c>
      <c r="K90" s="26">
        <v>10.7579613765602</v>
      </c>
      <c r="L90" s="26">
        <v>10.2330505139265</v>
      </c>
      <c r="M90" s="26">
        <v>9.8335833064796905</v>
      </c>
      <c r="N90" s="26">
        <v>9.62184205654561</v>
      </c>
      <c r="O90" s="26">
        <v>9.9942099834131</v>
      </c>
      <c r="P90" s="26">
        <v>10.355997375727799</v>
      </c>
      <c r="Q90" s="26">
        <v>10.2813087845064</v>
      </c>
      <c r="R90" s="26">
        <v>9.9744894132112396</v>
      </c>
      <c r="S90" s="26">
        <v>9.4467556522331595</v>
      </c>
      <c r="T90" s="26">
        <v>8.8887901212866804</v>
      </c>
      <c r="U90" s="26">
        <v>8.6938728406191501</v>
      </c>
      <c r="V90" s="26">
        <v>8.6791785368509906</v>
      </c>
      <c r="W90" s="26">
        <v>8.5023195012734405</v>
      </c>
      <c r="X90" s="26">
        <v>8.1902994407766307</v>
      </c>
      <c r="Y90" s="26">
        <v>7.8513338034451703</v>
      </c>
      <c r="Z90" s="26">
        <v>7.10422000054532</v>
      </c>
      <c r="AA90" s="26">
        <v>6.6900697016727699</v>
      </c>
      <c r="AB90" s="71"/>
      <c r="AC90" s="71"/>
      <c r="AD90" s="71"/>
      <c r="AE90" s="102"/>
      <c r="AF90" s="100">
        <f>AVERAGE(W90:AA90)</f>
        <v>7.6676484895426658</v>
      </c>
    </row>
    <row r="91" spans="1:33" ht="18">
      <c r="A91" s="89"/>
    </row>
    <row r="92" spans="1:33" ht="18">
      <c r="A92" s="89"/>
    </row>
    <row r="93" spans="1:33" ht="18.75">
      <c r="A93" s="105" t="s">
        <v>29</v>
      </c>
      <c r="B93" s="106">
        <v>2000</v>
      </c>
      <c r="C93" s="106">
        <v>2001</v>
      </c>
      <c r="D93" s="106">
        <v>2002</v>
      </c>
      <c r="E93" s="106">
        <v>2003</v>
      </c>
      <c r="F93" s="106">
        <v>2004</v>
      </c>
      <c r="G93" s="106">
        <v>2005</v>
      </c>
      <c r="H93" s="106">
        <v>2006</v>
      </c>
      <c r="I93" s="106">
        <v>2007</v>
      </c>
      <c r="J93" s="106">
        <v>2008</v>
      </c>
      <c r="K93" s="106">
        <v>2009</v>
      </c>
      <c r="L93" s="106">
        <v>2010</v>
      </c>
      <c r="M93" s="106">
        <v>2011</v>
      </c>
      <c r="N93" s="106">
        <v>2012</v>
      </c>
      <c r="O93" s="106">
        <v>2013</v>
      </c>
      <c r="P93" s="106">
        <v>2014</v>
      </c>
      <c r="Q93" s="106">
        <v>2015</v>
      </c>
      <c r="R93" s="106">
        <v>2016</v>
      </c>
      <c r="S93" s="106">
        <v>2017</v>
      </c>
      <c r="T93" s="106">
        <v>2018</v>
      </c>
      <c r="U93" s="106">
        <v>2019</v>
      </c>
      <c r="V93" s="106">
        <v>2020</v>
      </c>
      <c r="W93" s="96" t="s">
        <v>81</v>
      </c>
    </row>
    <row r="94" spans="1:33" ht="18.75">
      <c r="A94" s="105" t="s">
        <v>42</v>
      </c>
      <c r="B94" s="106">
        <v>41.236024</v>
      </c>
      <c r="C94" s="107"/>
      <c r="D94" s="106">
        <v>42.966363090000002</v>
      </c>
      <c r="E94" s="107"/>
      <c r="F94" s="106">
        <v>42.042646320000003</v>
      </c>
      <c r="G94" s="107"/>
      <c r="H94" s="106">
        <v>41.87353864</v>
      </c>
      <c r="I94" s="107"/>
      <c r="J94" s="106">
        <v>42.05899299</v>
      </c>
      <c r="K94" s="107"/>
      <c r="L94" s="106">
        <v>42.244933170000003</v>
      </c>
      <c r="M94" s="107"/>
      <c r="N94" s="106">
        <v>42.24</v>
      </c>
      <c r="O94" s="107"/>
      <c r="P94" s="106">
        <v>43</v>
      </c>
      <c r="Q94" s="107"/>
      <c r="R94" s="106">
        <v>65.099999999999994</v>
      </c>
      <c r="S94" s="107"/>
      <c r="T94" s="106">
        <v>50.74</v>
      </c>
      <c r="U94" s="107"/>
      <c r="V94" s="106">
        <v>37.299999999999997</v>
      </c>
      <c r="W94" s="96">
        <f>AVERAGE(N94:V94)</f>
        <v>47.676000000000002</v>
      </c>
    </row>
    <row r="95" spans="1:33" ht="18">
      <c r="A95" s="108" t="s">
        <v>2</v>
      </c>
      <c r="B95" s="11">
        <v>40.621252060000003</v>
      </c>
      <c r="C95" s="11">
        <v>40.621252060000003</v>
      </c>
      <c r="D95" s="11">
        <v>42.394867830000003</v>
      </c>
      <c r="E95" s="11">
        <v>42.394867830000003</v>
      </c>
      <c r="F95" s="11">
        <v>42.410747999999998</v>
      </c>
      <c r="G95" s="11">
        <v>42.410747999999998</v>
      </c>
      <c r="H95" s="11">
        <v>43.030048790000002</v>
      </c>
      <c r="I95" s="11">
        <v>43.030048790000002</v>
      </c>
      <c r="J95" s="11">
        <v>42.643359510000003</v>
      </c>
      <c r="K95" s="11">
        <v>42.643359510000003</v>
      </c>
      <c r="L95" s="11">
        <v>42.725065829999998</v>
      </c>
      <c r="M95" s="11">
        <v>42.725065829999998</v>
      </c>
      <c r="N95" s="11">
        <v>42.73</v>
      </c>
      <c r="O95" s="11">
        <v>42.73</v>
      </c>
      <c r="P95" s="11">
        <v>51.08</v>
      </c>
      <c r="Q95" s="11">
        <v>51.08</v>
      </c>
      <c r="R95" s="11">
        <v>66.319999999999993</v>
      </c>
      <c r="S95" s="11">
        <v>66.319999999999993</v>
      </c>
      <c r="T95" s="10">
        <v>58.16</v>
      </c>
      <c r="U95" s="10">
        <v>58.16</v>
      </c>
      <c r="V95" s="10">
        <v>48</v>
      </c>
      <c r="W95" s="97">
        <f>AVERAGE(R95:V95)</f>
        <v>59.391999999999996</v>
      </c>
    </row>
    <row r="96" spans="1:33" ht="18">
      <c r="A96" s="108" t="s">
        <v>41</v>
      </c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0"/>
      <c r="U96" s="10"/>
      <c r="V96" s="10"/>
      <c r="W96" s="97"/>
    </row>
    <row r="97" spans="1:23" ht="18">
      <c r="A97" s="108" t="s">
        <v>43</v>
      </c>
      <c r="B97" s="11">
        <v>52.81720988</v>
      </c>
      <c r="C97" s="107"/>
      <c r="D97" s="11">
        <v>54.437327150000002</v>
      </c>
      <c r="E97" s="107"/>
      <c r="F97" s="11">
        <v>55.670851820000003</v>
      </c>
      <c r="G97" s="107"/>
      <c r="H97" s="11">
        <v>55.867666110000002</v>
      </c>
      <c r="I97" s="107"/>
      <c r="J97" s="11">
        <v>56.226735499999997</v>
      </c>
      <c r="K97" s="107"/>
      <c r="L97" s="11">
        <v>56.355793380000001</v>
      </c>
      <c r="M97" s="107"/>
      <c r="N97" s="11">
        <v>56.36</v>
      </c>
      <c r="O97" s="107"/>
      <c r="P97" s="11">
        <v>81.78</v>
      </c>
      <c r="Q97" s="107"/>
      <c r="R97" s="11">
        <v>87.04</v>
      </c>
      <c r="S97" s="107"/>
      <c r="T97" s="11">
        <v>64.23</v>
      </c>
      <c r="U97" s="107"/>
      <c r="V97" s="11">
        <v>58.1</v>
      </c>
      <c r="W97" s="97">
        <f>AVERAGE(N97:V97)</f>
        <v>69.50200000000001</v>
      </c>
    </row>
    <row r="98" spans="1:23" ht="18">
      <c r="A98" s="108" t="s">
        <v>1</v>
      </c>
      <c r="B98" s="11">
        <v>40.470457629999999</v>
      </c>
      <c r="C98" s="11">
        <v>40.470457629999999</v>
      </c>
      <c r="D98" s="11">
        <v>41.941618589999997</v>
      </c>
      <c r="E98" s="11">
        <v>41.941618589999997</v>
      </c>
      <c r="F98" s="11">
        <v>43.428443280000003</v>
      </c>
      <c r="G98" s="11">
        <v>43.428443280000003</v>
      </c>
      <c r="H98" s="11">
        <v>43.894291389999999</v>
      </c>
      <c r="I98" s="11">
        <v>43.894291389999999</v>
      </c>
      <c r="J98" s="11">
        <v>44.397218129999999</v>
      </c>
      <c r="K98" s="11">
        <v>44.397218129999999</v>
      </c>
      <c r="L98" s="11">
        <v>44.797924719999997</v>
      </c>
      <c r="M98" s="11">
        <v>44.797924719999997</v>
      </c>
      <c r="N98" s="11">
        <v>44.8</v>
      </c>
      <c r="O98" s="11">
        <v>44.8</v>
      </c>
      <c r="P98" s="11">
        <v>54.91</v>
      </c>
      <c r="Q98" s="11">
        <v>54.91</v>
      </c>
      <c r="R98" s="11">
        <v>67.680000000000007</v>
      </c>
      <c r="S98" s="11">
        <v>67.680000000000007</v>
      </c>
      <c r="T98" s="10">
        <v>52.96</v>
      </c>
      <c r="U98" s="10">
        <v>52.96</v>
      </c>
      <c r="V98" s="10">
        <v>42.6</v>
      </c>
      <c r="W98" s="97">
        <f>AVERAGE(R98:V98)</f>
        <v>56.77600000000001</v>
      </c>
    </row>
    <row r="99" spans="1:23" ht="18">
      <c r="A99" s="78"/>
    </row>
    <row r="100" spans="1:23" ht="18">
      <c r="A100" s="78"/>
    </row>
    <row r="101" spans="1:23" ht="18.75">
      <c r="A101" s="86" t="s">
        <v>27</v>
      </c>
      <c r="B101" s="65">
        <v>2007</v>
      </c>
      <c r="C101" s="65">
        <v>2008</v>
      </c>
      <c r="D101" s="65">
        <v>2009</v>
      </c>
      <c r="E101" s="65">
        <v>2010</v>
      </c>
      <c r="F101" s="65">
        <v>2011</v>
      </c>
      <c r="G101" s="65">
        <v>2012</v>
      </c>
      <c r="H101" s="65">
        <v>2013</v>
      </c>
      <c r="I101" s="65">
        <v>2014</v>
      </c>
      <c r="J101" s="65">
        <v>2015</v>
      </c>
      <c r="K101" s="65">
        <v>2016</v>
      </c>
      <c r="L101" s="65">
        <v>2017</v>
      </c>
      <c r="M101" s="65">
        <v>2018</v>
      </c>
      <c r="N101" s="65">
        <v>2019</v>
      </c>
      <c r="O101" s="65">
        <v>2020</v>
      </c>
      <c r="P101" s="96" t="s">
        <v>81</v>
      </c>
    </row>
    <row r="102" spans="1:23" ht="18">
      <c r="A102" s="90" t="s">
        <v>2</v>
      </c>
      <c r="B102" s="73">
        <v>82.8</v>
      </c>
      <c r="C102" s="73">
        <v>85.7</v>
      </c>
      <c r="D102" s="73">
        <v>90</v>
      </c>
      <c r="E102" s="73">
        <v>92.2</v>
      </c>
      <c r="F102" s="73">
        <v>90.2</v>
      </c>
      <c r="G102" s="73">
        <v>89.6</v>
      </c>
      <c r="H102" s="73">
        <v>89.7</v>
      </c>
      <c r="I102" s="73">
        <v>87.2</v>
      </c>
      <c r="J102" s="73">
        <v>87.1</v>
      </c>
      <c r="K102" s="73">
        <v>86.9</v>
      </c>
      <c r="L102" s="73">
        <v>85.8</v>
      </c>
      <c r="M102" s="73">
        <v>84.271115167419168</v>
      </c>
      <c r="N102" s="73">
        <v>83</v>
      </c>
      <c r="O102" s="73">
        <v>83.386608652067594</v>
      </c>
      <c r="P102" s="101">
        <f>AVERAGE(K102:O102)</f>
        <v>84.671544763897344</v>
      </c>
    </row>
    <row r="103" spans="1:23" ht="18">
      <c r="A103" s="90" t="s">
        <v>42</v>
      </c>
      <c r="B103" s="73">
        <v>81.2</v>
      </c>
      <c r="C103" s="73">
        <v>80.3</v>
      </c>
      <c r="D103" s="73">
        <v>84.6</v>
      </c>
      <c r="E103" s="73">
        <v>83</v>
      </c>
      <c r="F103" s="73">
        <v>80.099999999999994</v>
      </c>
      <c r="G103" s="73">
        <v>78.3</v>
      </c>
      <c r="H103" s="73">
        <v>80.900000000000006</v>
      </c>
      <c r="I103" s="73">
        <v>79</v>
      </c>
      <c r="J103" s="73">
        <v>76.5</v>
      </c>
      <c r="K103" s="73">
        <v>74.900000000000006</v>
      </c>
      <c r="L103" s="73">
        <v>74.7</v>
      </c>
      <c r="M103" s="73">
        <v>72.39504122741063</v>
      </c>
      <c r="N103" s="73">
        <v>71.099999999999994</v>
      </c>
      <c r="O103" s="73">
        <v>69.858787899833459</v>
      </c>
      <c r="P103" s="101">
        <f>AVERAGE(K103:O103)</f>
        <v>72.590765825448827</v>
      </c>
    </row>
    <row r="104" spans="1:23" ht="18">
      <c r="A104" s="90" t="s">
        <v>41</v>
      </c>
      <c r="B104" s="73">
        <v>39.700000000000003</v>
      </c>
      <c r="C104" s="73">
        <v>40.6</v>
      </c>
      <c r="D104" s="73">
        <v>41.6</v>
      </c>
      <c r="E104" s="73">
        <v>41.3</v>
      </c>
      <c r="F104" s="73">
        <v>38.799999999999997</v>
      </c>
      <c r="G104" s="73">
        <v>37.6</v>
      </c>
      <c r="H104" s="73">
        <v>35.4</v>
      </c>
      <c r="I104" s="73">
        <v>36.4</v>
      </c>
      <c r="J104" s="73">
        <v>36.299999999999997</v>
      </c>
      <c r="K104" s="73">
        <v>36.1</v>
      </c>
      <c r="L104" s="73">
        <v>38.1</v>
      </c>
      <c r="M104" s="73">
        <v>35.733914589471908</v>
      </c>
      <c r="N104" s="73">
        <v>33.700000000000003</v>
      </c>
      <c r="O104" s="73">
        <v>32.015273429589861</v>
      </c>
      <c r="P104" s="101">
        <f>AVERAGE(K104:O104)</f>
        <v>35.129837603812355</v>
      </c>
    </row>
    <row r="105" spans="1:23" ht="18">
      <c r="A105" s="90" t="s">
        <v>1</v>
      </c>
      <c r="B105" s="73">
        <v>74.900000000000006</v>
      </c>
      <c r="C105" s="73">
        <v>75.400000000000006</v>
      </c>
      <c r="D105" s="73">
        <v>78.2</v>
      </c>
      <c r="E105" s="73">
        <v>77.099999999999994</v>
      </c>
      <c r="F105" s="73">
        <v>74.900000000000006</v>
      </c>
      <c r="G105" s="73">
        <v>76.599999999999994</v>
      </c>
      <c r="H105" s="73">
        <v>75.900000000000006</v>
      </c>
      <c r="I105" s="73">
        <v>74.099999999999994</v>
      </c>
      <c r="J105" s="73">
        <v>74.599999999999994</v>
      </c>
      <c r="K105" s="73">
        <v>77.3</v>
      </c>
      <c r="L105" s="73">
        <v>80.8</v>
      </c>
      <c r="M105" s="73">
        <v>82.219035999187113</v>
      </c>
      <c r="N105" s="73">
        <v>80.3</v>
      </c>
      <c r="O105" s="73">
        <v>79.147394003889175</v>
      </c>
      <c r="P105" s="101">
        <f>AVERAGE(K105:O105)</f>
        <v>79.953286000615265</v>
      </c>
    </row>
    <row r="106" spans="1:23" ht="18">
      <c r="A106" s="78"/>
    </row>
    <row r="107" spans="1:23" ht="18">
      <c r="A107" s="78"/>
    </row>
    <row r="108" spans="1:23" ht="18.75">
      <c r="A108" s="91" t="s">
        <v>28</v>
      </c>
      <c r="B108" s="75">
        <v>2015</v>
      </c>
      <c r="C108" s="75">
        <v>2016</v>
      </c>
      <c r="D108" s="75">
        <v>2017</v>
      </c>
      <c r="E108" s="75">
        <v>2018</v>
      </c>
      <c r="F108" s="75">
        <v>2019</v>
      </c>
      <c r="G108" s="96" t="s">
        <v>81</v>
      </c>
    </row>
    <row r="109" spans="1:23" ht="18">
      <c r="A109" s="92" t="s">
        <v>2</v>
      </c>
      <c r="B109" s="74">
        <v>54.411857110184698</v>
      </c>
      <c r="C109" s="74">
        <v>54.411857110184698</v>
      </c>
      <c r="D109" s="74">
        <v>54.411857110184698</v>
      </c>
      <c r="E109" s="74">
        <v>54.852980377041099</v>
      </c>
      <c r="F109" s="74">
        <v>52.965924687079784</v>
      </c>
      <c r="G109" s="101">
        <f>AVERAGE(B109:F109)</f>
        <v>54.210895278934991</v>
      </c>
    </row>
    <row r="110" spans="1:23" ht="18">
      <c r="A110" s="92" t="s">
        <v>41</v>
      </c>
      <c r="B110" s="74">
        <v>78.03</v>
      </c>
      <c r="C110" s="74">
        <v>78.03</v>
      </c>
      <c r="D110" s="74">
        <v>78.025443260126394</v>
      </c>
      <c r="E110" s="74">
        <v>78.838395388472605</v>
      </c>
      <c r="F110" s="74">
        <v>79.619016928186028</v>
      </c>
      <c r="G110" s="101">
        <f>AVERAGE(B110:F110)</f>
        <v>78.508571115357014</v>
      </c>
    </row>
    <row r="111" spans="1:23" ht="18">
      <c r="A111" s="92" t="s">
        <v>42</v>
      </c>
      <c r="B111" s="74">
        <v>71.760000000000005</v>
      </c>
      <c r="C111" s="74">
        <v>71.760000000000005</v>
      </c>
      <c r="D111" s="74">
        <v>71.757485590737303</v>
      </c>
      <c r="E111" s="74">
        <v>72.609272084523596</v>
      </c>
      <c r="F111" s="74">
        <v>73.901117221553235</v>
      </c>
      <c r="G111" s="101">
        <f>AVERAGE(B111:F111)</f>
        <v>72.357574979362838</v>
      </c>
    </row>
    <row r="112" spans="1:23" ht="18">
      <c r="A112" s="92" t="s">
        <v>1</v>
      </c>
      <c r="B112" s="74">
        <v>61.420463755060801</v>
      </c>
      <c r="C112" s="74">
        <v>61.420463755060801</v>
      </c>
      <c r="D112" s="74">
        <v>61.420463755060801</v>
      </c>
      <c r="E112" s="74">
        <v>61.598711563766102</v>
      </c>
      <c r="F112" s="74">
        <v>62.136214487294552</v>
      </c>
      <c r="G112" s="101">
        <f>AVERAGE(B112:F112)</f>
        <v>61.599263463248612</v>
      </c>
    </row>
    <row r="113" spans="1:7" ht="18">
      <c r="A113" s="91" t="s">
        <v>43</v>
      </c>
      <c r="B113" s="91"/>
      <c r="C113" s="91"/>
      <c r="D113" s="91">
        <v>82.969854771283494</v>
      </c>
      <c r="E113" s="91">
        <v>83.477913046801206</v>
      </c>
      <c r="F113" s="91">
        <v>84.783816847655402</v>
      </c>
      <c r="G113" s="31">
        <f>AVERAGE(D113:F113)</f>
        <v>83.743861555246696</v>
      </c>
    </row>
  </sheetData>
  <pageMargins left="0.7" right="0.7" top="0.75" bottom="0.75" header="0.3" footer="0.3"/>
  <pageSetup paperSize="9" orientation="portrait" horizontalDpi="0" verticalDpi="0" copies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14"/>
  <sheetViews>
    <sheetView workbookViewId="0">
      <selection activeCell="U9" sqref="U9"/>
    </sheetView>
  </sheetViews>
  <sheetFormatPr defaultColWidth="9" defaultRowHeight="15"/>
  <cols>
    <col min="1" max="1" width="21.42578125" style="158" customWidth="1"/>
    <col min="2" max="16384" width="9" style="158"/>
  </cols>
  <sheetData>
    <row r="1" spans="1:18" ht="63.75">
      <c r="A1" s="32"/>
      <c r="B1" s="152" t="s">
        <v>90</v>
      </c>
      <c r="C1" s="152" t="s">
        <v>89</v>
      </c>
      <c r="D1" s="159"/>
      <c r="E1" s="159"/>
      <c r="F1" s="159"/>
      <c r="G1" s="157"/>
    </row>
    <row r="2" spans="1:18" ht="19.5">
      <c r="A2" s="32" t="s">
        <v>0</v>
      </c>
      <c r="B2" s="32">
        <v>5.0814814814814788</v>
      </c>
      <c r="C2" s="156">
        <v>7.1449275362318794</v>
      </c>
      <c r="D2" s="159"/>
      <c r="E2" s="159"/>
      <c r="F2" s="159"/>
      <c r="G2" s="157"/>
      <c r="P2" s="159"/>
      <c r="Q2" s="159"/>
      <c r="R2" s="160"/>
    </row>
    <row r="3" spans="1:18" ht="19.5">
      <c r="A3" s="32" t="s">
        <v>3</v>
      </c>
      <c r="B3" s="32">
        <v>1.5151515151515151</v>
      </c>
      <c r="C3" s="32">
        <v>7.1428571428571423</v>
      </c>
      <c r="D3" s="159"/>
      <c r="E3" s="159"/>
      <c r="F3" s="159"/>
      <c r="G3" s="157"/>
      <c r="L3" s="157"/>
      <c r="P3" s="161"/>
      <c r="Q3" s="161"/>
      <c r="R3" s="157"/>
    </row>
    <row r="4" spans="1:18" ht="19.5">
      <c r="A4" s="32" t="s">
        <v>27</v>
      </c>
      <c r="B4" s="32">
        <v>5.9259259259259265</v>
      </c>
      <c r="C4" s="32">
        <v>13.397907787679198</v>
      </c>
      <c r="D4" s="159"/>
      <c r="E4" s="159"/>
      <c r="F4" s="159"/>
      <c r="G4" s="157"/>
      <c r="P4" s="162"/>
      <c r="Q4" s="162"/>
      <c r="R4" s="157"/>
    </row>
    <row r="5" spans="1:18" ht="19.5">
      <c r="A5" s="32" t="s">
        <v>80</v>
      </c>
      <c r="B5" s="32">
        <v>-0.98015778149653565</v>
      </c>
      <c r="C5" s="32">
        <v>1.0638297872340454</v>
      </c>
      <c r="D5" s="159"/>
      <c r="E5" s="159"/>
      <c r="F5" s="159"/>
      <c r="G5" s="157"/>
      <c r="P5" s="162"/>
      <c r="Q5" s="162"/>
      <c r="R5" s="157"/>
    </row>
    <row r="6" spans="1:18" ht="19.5">
      <c r="A6" s="32" t="s">
        <v>9</v>
      </c>
      <c r="B6" s="32">
        <v>-7.6692076692076716</v>
      </c>
      <c r="C6" s="32">
        <v>-7.2727272727272627</v>
      </c>
      <c r="D6" s="159"/>
      <c r="E6" s="159"/>
      <c r="F6" s="159"/>
      <c r="G6" s="157"/>
      <c r="P6" s="162"/>
      <c r="Q6" s="162"/>
      <c r="R6" s="157"/>
    </row>
    <row r="7" spans="1:18" ht="19.5">
      <c r="A7" s="32" t="s">
        <v>68</v>
      </c>
      <c r="B7" s="32">
        <v>3.4293552812071337</v>
      </c>
      <c r="C7" s="32">
        <v>49.206349206349209</v>
      </c>
      <c r="D7" s="159"/>
      <c r="E7" s="159"/>
      <c r="F7" s="159"/>
      <c r="G7" s="157"/>
      <c r="P7" s="162"/>
      <c r="Q7" s="162"/>
      <c r="R7" s="157"/>
    </row>
    <row r="8" spans="1:18" ht="19.5">
      <c r="A8" s="32" t="s">
        <v>10</v>
      </c>
      <c r="B8" s="32">
        <v>2.459016393442627</v>
      </c>
      <c r="C8" s="32">
        <v>4.8000000000000078</v>
      </c>
      <c r="D8" s="159"/>
      <c r="E8" s="159"/>
      <c r="F8" s="159"/>
      <c r="G8" s="157"/>
      <c r="P8" s="162"/>
      <c r="Q8" s="162"/>
      <c r="R8" s="157"/>
    </row>
    <row r="9" spans="1:18" ht="19.5">
      <c r="A9" s="32" t="s">
        <v>7</v>
      </c>
      <c r="B9" s="32">
        <v>0.53191489361701949</v>
      </c>
      <c r="C9" s="32">
        <v>1.8518518518518574</v>
      </c>
      <c r="D9" s="159"/>
      <c r="E9" s="159"/>
      <c r="F9" s="159"/>
      <c r="G9" s="157"/>
      <c r="P9" s="162"/>
      <c r="Q9" s="162"/>
      <c r="R9" s="157"/>
    </row>
    <row r="10" spans="1:18" ht="19.5">
      <c r="A10" s="32" t="s">
        <v>5</v>
      </c>
      <c r="B10" s="32">
        <v>36.608195754716974</v>
      </c>
      <c r="C10" s="32">
        <v>40.113384955752217</v>
      </c>
      <c r="D10" s="159"/>
      <c r="E10" s="159"/>
      <c r="F10" s="159"/>
      <c r="G10" s="157"/>
      <c r="P10" s="162"/>
      <c r="Q10" s="162"/>
      <c r="R10" s="157"/>
    </row>
    <row r="11" spans="1:18" ht="19.5">
      <c r="A11" s="32" t="s">
        <v>8</v>
      </c>
      <c r="B11" s="32">
        <v>1.904761904761898</v>
      </c>
      <c r="C11" s="32">
        <v>2.7526595744680793</v>
      </c>
      <c r="D11" s="159"/>
      <c r="E11" s="159"/>
      <c r="F11" s="159"/>
      <c r="G11" s="157"/>
      <c r="P11" s="162"/>
      <c r="Q11" s="162"/>
      <c r="R11" s="157"/>
    </row>
    <row r="12" spans="1:18" ht="19.5">
      <c r="A12" s="32" t="s">
        <v>6</v>
      </c>
      <c r="B12" s="32">
        <v>7.8711985688729929</v>
      </c>
      <c r="C12" s="32">
        <v>6.3357185450208675</v>
      </c>
      <c r="D12" s="159"/>
      <c r="E12" s="159"/>
      <c r="F12" s="159"/>
      <c r="G12" s="157"/>
      <c r="P12" s="162"/>
      <c r="Q12" s="162"/>
      <c r="R12" s="157"/>
    </row>
    <row r="13" spans="1:18" ht="19.5">
      <c r="A13" s="32" t="s">
        <v>26</v>
      </c>
      <c r="B13" s="32">
        <v>-13.059715153955995</v>
      </c>
      <c r="C13" s="32">
        <v>-17.156081645041354</v>
      </c>
      <c r="D13" s="159"/>
      <c r="E13" s="159"/>
      <c r="F13" s="159"/>
      <c r="G13" s="157"/>
      <c r="P13" s="162"/>
      <c r="Q13" s="162"/>
      <c r="R13" s="157"/>
    </row>
    <row r="14" spans="1:18" ht="19.5">
      <c r="A14" s="32" t="s">
        <v>69</v>
      </c>
      <c r="B14" s="32">
        <v>-3.0137477049841013</v>
      </c>
      <c r="C14" s="32">
        <v>-7.4437627811860834</v>
      </c>
      <c r="D14" s="159"/>
      <c r="E14" s="159"/>
      <c r="F14" s="159"/>
      <c r="G14" s="157"/>
      <c r="P14" s="162"/>
      <c r="Q14" s="162"/>
      <c r="R14" s="157"/>
    </row>
  </sheetData>
  <pageMargins left="0.7" right="0.7" top="0.75" bottom="0.75" header="0.3" footer="0.3"/>
  <pageSetup paperSize="9" orientation="portrait" horizontalDpi="0" verticalDpi="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84"/>
  <sheetViews>
    <sheetView topLeftCell="A22" zoomScale="115" zoomScaleNormal="115" workbookViewId="0">
      <selection activeCell="C81" sqref="C81"/>
    </sheetView>
  </sheetViews>
  <sheetFormatPr defaultRowHeight="15"/>
  <cols>
    <col min="1" max="1" width="14.7109375" bestFit="1" customWidth="1"/>
    <col min="3" max="3" width="14.7109375" bestFit="1" customWidth="1"/>
    <col min="5" max="5" width="20.140625" customWidth="1"/>
    <col min="9" max="9" width="13.7109375" customWidth="1"/>
    <col min="10" max="10" width="19.28515625" customWidth="1"/>
    <col min="12" max="12" width="20.28515625" customWidth="1"/>
    <col min="14" max="14" width="9.5703125" bestFit="1" customWidth="1"/>
    <col min="15" max="15" width="16" bestFit="1" customWidth="1"/>
  </cols>
  <sheetData>
    <row r="1" spans="1:15">
      <c r="A1" t="s">
        <v>63</v>
      </c>
      <c r="B1" t="s">
        <v>94</v>
      </c>
      <c r="D1" t="s">
        <v>97</v>
      </c>
      <c r="E1" t="s">
        <v>98</v>
      </c>
      <c r="H1" s="32" t="s">
        <v>23</v>
      </c>
      <c r="I1" s="32" t="s">
        <v>24</v>
      </c>
      <c r="K1" s="32" t="s">
        <v>97</v>
      </c>
      <c r="L1" s="32" t="s">
        <v>117</v>
      </c>
    </row>
    <row r="2" spans="1:15" ht="21.75">
      <c r="A2" t="s">
        <v>32</v>
      </c>
      <c r="B2">
        <v>-0.447882590086357</v>
      </c>
      <c r="C2" s="32" t="s">
        <v>32</v>
      </c>
      <c r="D2">
        <v>54.411857110184698</v>
      </c>
      <c r="E2">
        <v>52.965924687079784</v>
      </c>
      <c r="G2" s="16" t="s">
        <v>32</v>
      </c>
      <c r="H2" s="32">
        <v>84.783816847655402</v>
      </c>
      <c r="I2" s="32">
        <v>35.084570651938918</v>
      </c>
      <c r="J2" s="32" t="s">
        <v>104</v>
      </c>
      <c r="K2">
        <f>(D2-I2)*100/(H2-I2)</f>
        <v>38.888490143561924</v>
      </c>
      <c r="L2" s="32">
        <f>(E2-I2)*100/(H2-I2)</f>
        <v>35.979125246133087</v>
      </c>
      <c r="N2" s="164">
        <v>2014</v>
      </c>
      <c r="O2" s="38" t="s">
        <v>40</v>
      </c>
    </row>
    <row r="3" spans="1:15" ht="21.75">
      <c r="A3" t="s">
        <v>44</v>
      </c>
      <c r="B3">
        <v>0.42480977774723705</v>
      </c>
      <c r="C3" s="32" t="s">
        <v>44</v>
      </c>
      <c r="D3">
        <v>55.879220000000004</v>
      </c>
      <c r="E3">
        <v>58.546580000000006</v>
      </c>
      <c r="G3" s="16" t="s">
        <v>44</v>
      </c>
      <c r="H3" s="32">
        <v>86.46305000000001</v>
      </c>
      <c r="I3" s="32">
        <v>45.996650000000002</v>
      </c>
      <c r="J3" s="32" t="s">
        <v>105</v>
      </c>
      <c r="K3" s="32">
        <f t="shared" ref="K3:K14" si="0">(D3-I3)*100/(H3-I3)</f>
        <v>24.421668347073126</v>
      </c>
      <c r="L3" s="32">
        <f t="shared" ref="L3:L14" si="1">(E3-I3)*100/(H3-I3)</f>
        <v>31.013210960204024</v>
      </c>
      <c r="N3" s="164">
        <v>1990</v>
      </c>
      <c r="O3" s="38" t="s">
        <v>11</v>
      </c>
    </row>
    <row r="4" spans="1:15" ht="21.75">
      <c r="A4" t="s">
        <v>13</v>
      </c>
      <c r="B4">
        <v>4.0234213268597774</v>
      </c>
      <c r="C4" s="32" t="s">
        <v>13</v>
      </c>
      <c r="D4">
        <v>27.3</v>
      </c>
      <c r="E4">
        <v>34.4</v>
      </c>
      <c r="G4" s="16" t="s">
        <v>13</v>
      </c>
      <c r="H4" s="32">
        <v>58.4</v>
      </c>
      <c r="I4" s="32">
        <v>14.5</v>
      </c>
      <c r="J4" s="32" t="s">
        <v>106</v>
      </c>
      <c r="K4" s="32">
        <f t="shared" si="0"/>
        <v>29.157175398633257</v>
      </c>
      <c r="L4" s="32">
        <f t="shared" si="1"/>
        <v>45.33029612756264</v>
      </c>
      <c r="N4" s="165">
        <v>2008</v>
      </c>
      <c r="O4" s="38" t="s">
        <v>12</v>
      </c>
    </row>
    <row r="5" spans="1:15" ht="21.75">
      <c r="A5" t="s">
        <v>14</v>
      </c>
      <c r="B5">
        <v>0.96212894350538036</v>
      </c>
      <c r="C5" s="32" t="s">
        <v>14</v>
      </c>
      <c r="D5">
        <v>42</v>
      </c>
      <c r="E5">
        <v>45.78</v>
      </c>
      <c r="G5" s="16" t="s">
        <v>14</v>
      </c>
      <c r="H5" s="32">
        <v>87.13</v>
      </c>
      <c r="I5" s="32">
        <v>26.17</v>
      </c>
      <c r="J5" s="32" t="s">
        <v>107</v>
      </c>
      <c r="K5" s="32">
        <f t="shared" si="0"/>
        <v>25.967847769028872</v>
      </c>
      <c r="L5" s="32">
        <f t="shared" si="1"/>
        <v>32.168635170603679</v>
      </c>
      <c r="N5" s="165">
        <v>2008</v>
      </c>
      <c r="O5" s="38" t="s">
        <v>95</v>
      </c>
    </row>
    <row r="6" spans="1:15" ht="21.75">
      <c r="A6" t="s">
        <v>99</v>
      </c>
      <c r="B6">
        <v>-1.1708202005034529</v>
      </c>
      <c r="C6" s="32" t="s">
        <v>99</v>
      </c>
      <c r="D6">
        <v>66.25</v>
      </c>
      <c r="E6">
        <v>58.199999999999996</v>
      </c>
      <c r="G6" s="24" t="s">
        <v>12</v>
      </c>
      <c r="H6" s="32">
        <v>98.4</v>
      </c>
      <c r="I6" s="32">
        <v>33.9</v>
      </c>
      <c r="J6" s="32" t="s">
        <v>108</v>
      </c>
      <c r="K6" s="32">
        <f t="shared" si="0"/>
        <v>50.155038759689923</v>
      </c>
      <c r="L6" s="32">
        <f t="shared" si="1"/>
        <v>37.674418604651159</v>
      </c>
      <c r="N6" s="164">
        <v>2013</v>
      </c>
      <c r="O6" s="38" t="s">
        <v>13</v>
      </c>
    </row>
    <row r="7" spans="1:15" ht="21.75">
      <c r="A7" t="s">
        <v>15</v>
      </c>
      <c r="B7">
        <v>-0.57923121058583993</v>
      </c>
      <c r="C7" s="32" t="s">
        <v>15</v>
      </c>
      <c r="D7">
        <v>34.274136333333338</v>
      </c>
      <c r="E7">
        <v>29.987496666666669</v>
      </c>
      <c r="G7" s="16" t="s">
        <v>15</v>
      </c>
      <c r="H7" s="32">
        <v>86.216819999999998</v>
      </c>
      <c r="I7" s="32">
        <v>7.6946133333333311</v>
      </c>
      <c r="J7" s="32" t="s">
        <v>109</v>
      </c>
      <c r="K7" s="32">
        <f t="shared" si="0"/>
        <v>33.849689315065106</v>
      </c>
      <c r="L7" s="32">
        <f t="shared" si="1"/>
        <v>28.390546164817412</v>
      </c>
      <c r="N7" s="164">
        <v>2011</v>
      </c>
      <c r="O7" s="38" t="s">
        <v>14</v>
      </c>
    </row>
    <row r="8" spans="1:15" ht="21.75">
      <c r="A8" t="s">
        <v>38</v>
      </c>
      <c r="B8">
        <v>-0.11346917476122709</v>
      </c>
      <c r="C8" s="32" t="s">
        <v>38</v>
      </c>
      <c r="D8">
        <v>31</v>
      </c>
      <c r="E8">
        <v>30.511159456610343</v>
      </c>
      <c r="G8" s="24" t="s">
        <v>31</v>
      </c>
      <c r="H8" s="32">
        <v>87.811111507569478</v>
      </c>
      <c r="I8" s="32">
        <v>6.3010884831976455</v>
      </c>
      <c r="J8" s="32" t="s">
        <v>110</v>
      </c>
      <c r="K8" s="32">
        <f t="shared" si="0"/>
        <v>30.301686345269808</v>
      </c>
      <c r="L8" s="32">
        <f t="shared" si="1"/>
        <v>29.701955753556575</v>
      </c>
      <c r="N8" s="164">
        <v>1996</v>
      </c>
      <c r="O8" s="38" t="s">
        <v>15</v>
      </c>
    </row>
    <row r="9" spans="1:15" ht="21.75">
      <c r="A9" t="s">
        <v>40</v>
      </c>
      <c r="B9">
        <v>0.93002373572168562</v>
      </c>
      <c r="C9" s="32" t="s">
        <v>40</v>
      </c>
      <c r="D9">
        <v>61.63</v>
      </c>
      <c r="E9">
        <v>65.150000000000006</v>
      </c>
      <c r="G9" s="16" t="s">
        <v>40</v>
      </c>
      <c r="H9" s="32">
        <v>90.95</v>
      </c>
      <c r="I9" s="32">
        <v>24.44</v>
      </c>
      <c r="J9" s="32" t="s">
        <v>111</v>
      </c>
      <c r="K9" s="32">
        <f t="shared" si="0"/>
        <v>55.916403548338593</v>
      </c>
      <c r="L9" s="32">
        <f t="shared" si="1"/>
        <v>61.208840775823191</v>
      </c>
      <c r="N9" s="164">
        <v>1996</v>
      </c>
      <c r="O9" s="38" t="s">
        <v>96</v>
      </c>
    </row>
    <row r="10" spans="1:15" ht="21.75">
      <c r="A10" t="s">
        <v>11</v>
      </c>
      <c r="B10">
        <v>1.1200621517843956</v>
      </c>
      <c r="C10" s="32" t="s">
        <v>11</v>
      </c>
      <c r="D10">
        <v>57.699999999999996</v>
      </c>
      <c r="E10">
        <v>79.7</v>
      </c>
      <c r="G10" s="16" t="s">
        <v>11</v>
      </c>
      <c r="H10" s="32">
        <v>95.368833688361022</v>
      </c>
      <c r="I10" s="32">
        <v>37.659108310314302</v>
      </c>
      <c r="J10" s="32" t="s">
        <v>112</v>
      </c>
      <c r="K10" s="32">
        <f t="shared" si="0"/>
        <v>34.727061268098538</v>
      </c>
      <c r="L10" s="32">
        <f t="shared" si="1"/>
        <v>72.848885372929573</v>
      </c>
      <c r="N10" s="166">
        <v>2010</v>
      </c>
      <c r="O10" s="38" t="s">
        <v>44</v>
      </c>
    </row>
    <row r="11" spans="1:15" ht="21.75">
      <c r="A11" t="s">
        <v>16</v>
      </c>
      <c r="B11">
        <v>-0.25808056238708632</v>
      </c>
      <c r="C11" s="32" t="s">
        <v>16</v>
      </c>
      <c r="D11">
        <v>46.43</v>
      </c>
      <c r="E11">
        <v>46.72</v>
      </c>
      <c r="G11" s="16" t="s">
        <v>16</v>
      </c>
      <c r="H11" s="32">
        <v>77.69</v>
      </c>
      <c r="I11" s="32">
        <v>30.830000000000002</v>
      </c>
      <c r="J11" s="32" t="s">
        <v>113</v>
      </c>
      <c r="K11" s="32">
        <f t="shared" si="0"/>
        <v>33.290653008962863</v>
      </c>
      <c r="L11" s="32">
        <f t="shared" si="1"/>
        <v>33.909517712334612</v>
      </c>
      <c r="N11" s="164">
        <v>2013</v>
      </c>
      <c r="O11" s="38" t="s">
        <v>16</v>
      </c>
    </row>
    <row r="12" spans="1:15" ht="21.75">
      <c r="A12" t="s">
        <v>20</v>
      </c>
      <c r="B12">
        <v>0.30500637272110609</v>
      </c>
      <c r="C12" s="32" t="s">
        <v>20</v>
      </c>
      <c r="D12">
        <v>46.722445038300002</v>
      </c>
      <c r="E12">
        <v>48.314141859800003</v>
      </c>
      <c r="G12" s="16" t="s">
        <v>20</v>
      </c>
      <c r="H12" s="32">
        <v>83.960023992900005</v>
      </c>
      <c r="I12" s="32">
        <v>32.875291421100002</v>
      </c>
      <c r="J12" s="32" t="s">
        <v>114</v>
      </c>
      <c r="K12" s="32">
        <f t="shared" si="0"/>
        <v>27.106246661343903</v>
      </c>
      <c r="L12" s="32">
        <f t="shared" si="1"/>
        <v>30.222044163587569</v>
      </c>
      <c r="N12" s="164">
        <v>2009</v>
      </c>
      <c r="O12" s="38" t="s">
        <v>20</v>
      </c>
    </row>
    <row r="13" spans="1:15" ht="21.75">
      <c r="A13" t="s">
        <v>37</v>
      </c>
      <c r="B13">
        <v>-0.73935893824124133</v>
      </c>
      <c r="C13" s="32" t="s">
        <v>37</v>
      </c>
      <c r="D13">
        <v>74.602508941268709</v>
      </c>
      <c r="E13">
        <v>61.511653528432895</v>
      </c>
      <c r="G13" s="24" t="s">
        <v>30</v>
      </c>
      <c r="H13" s="32">
        <v>97.963266940658045</v>
      </c>
      <c r="I13" s="32">
        <v>13.447127388091502</v>
      </c>
      <c r="J13" s="32" t="s">
        <v>115</v>
      </c>
      <c r="K13" s="32">
        <f t="shared" si="0"/>
        <v>72.359411914620594</v>
      </c>
      <c r="L13" s="32">
        <f t="shared" si="1"/>
        <v>56.870233774043456</v>
      </c>
      <c r="N13" s="164">
        <v>1990</v>
      </c>
      <c r="O13" s="38" t="s">
        <v>30</v>
      </c>
    </row>
    <row r="14" spans="1:15" ht="21.75">
      <c r="A14" t="s">
        <v>33</v>
      </c>
      <c r="B14">
        <v>0.79797475090164216</v>
      </c>
      <c r="C14" s="32" t="s">
        <v>33</v>
      </c>
      <c r="D14">
        <v>40.621252060000003</v>
      </c>
      <c r="E14">
        <v>48</v>
      </c>
      <c r="G14" s="16" t="s">
        <v>33</v>
      </c>
      <c r="H14" s="32">
        <v>82.5</v>
      </c>
      <c r="I14" s="32">
        <v>25.8</v>
      </c>
      <c r="J14" s="32" t="s">
        <v>116</v>
      </c>
      <c r="K14" s="32">
        <f t="shared" si="0"/>
        <v>26.139774356261025</v>
      </c>
      <c r="L14" s="32">
        <f t="shared" si="1"/>
        <v>39.153439153439152</v>
      </c>
      <c r="N14" s="164">
        <v>1990</v>
      </c>
      <c r="O14" s="38" t="s">
        <v>37</v>
      </c>
    </row>
    <row r="15" spans="1:15" ht="15.75">
      <c r="N15" s="164">
        <v>2007</v>
      </c>
      <c r="O15" s="38" t="s">
        <v>31</v>
      </c>
    </row>
    <row r="16" spans="1:15" ht="15.75">
      <c r="N16" s="164">
        <v>2007</v>
      </c>
      <c r="O16" s="38" t="s">
        <v>38</v>
      </c>
    </row>
    <row r="17" spans="14:27" ht="15.75">
      <c r="N17" s="164">
        <v>2015</v>
      </c>
      <c r="O17" s="38" t="s">
        <v>32</v>
      </c>
    </row>
    <row r="18" spans="14:27" ht="15.75">
      <c r="N18" s="168">
        <v>2000</v>
      </c>
      <c r="O18" s="38" t="s">
        <v>33</v>
      </c>
    </row>
    <row r="20" spans="14:27" ht="21.75">
      <c r="O20" s="16" t="s">
        <v>40</v>
      </c>
      <c r="P20" s="16" t="s">
        <v>11</v>
      </c>
      <c r="Q20" s="24" t="s">
        <v>12</v>
      </c>
      <c r="R20" s="16" t="s">
        <v>13</v>
      </c>
      <c r="S20" s="16" t="s">
        <v>14</v>
      </c>
      <c r="T20" s="16" t="s">
        <v>15</v>
      </c>
      <c r="U20" s="16" t="s">
        <v>44</v>
      </c>
      <c r="V20" s="16" t="s">
        <v>16</v>
      </c>
      <c r="W20" s="16" t="s">
        <v>20</v>
      </c>
      <c r="X20" s="24" t="s">
        <v>30</v>
      </c>
      <c r="Y20" s="24" t="s">
        <v>31</v>
      </c>
      <c r="Z20" s="16" t="s">
        <v>32</v>
      </c>
      <c r="AA20" s="16" t="s">
        <v>33</v>
      </c>
    </row>
    <row r="21" spans="14:27">
      <c r="N21" t="s">
        <v>23</v>
      </c>
      <c r="O21">
        <v>90.95</v>
      </c>
      <c r="P21">
        <v>95.368833688361022</v>
      </c>
      <c r="Q21">
        <v>98.4</v>
      </c>
      <c r="R21">
        <v>58.4</v>
      </c>
      <c r="S21">
        <v>87.13</v>
      </c>
      <c r="T21">
        <v>86.216819999999998</v>
      </c>
      <c r="U21">
        <v>86.46305000000001</v>
      </c>
      <c r="V21">
        <v>77.69</v>
      </c>
      <c r="W21">
        <v>83.960023992900005</v>
      </c>
      <c r="X21">
        <v>97.963266940658045</v>
      </c>
      <c r="Y21">
        <v>87.811111507569478</v>
      </c>
      <c r="Z21">
        <v>84.783816847655402</v>
      </c>
      <c r="AA21">
        <v>82.5</v>
      </c>
    </row>
    <row r="22" spans="14:27">
      <c r="N22" t="s">
        <v>24</v>
      </c>
      <c r="O22">
        <v>24.44</v>
      </c>
      <c r="P22">
        <v>37.659108310314302</v>
      </c>
      <c r="Q22">
        <v>33.9</v>
      </c>
      <c r="R22">
        <v>14.5</v>
      </c>
      <c r="S22">
        <v>26.17</v>
      </c>
      <c r="T22">
        <v>7.6946133333333311</v>
      </c>
      <c r="U22">
        <v>45.996650000000002</v>
      </c>
      <c r="V22">
        <v>30.830000000000002</v>
      </c>
      <c r="W22">
        <v>32.875291421100002</v>
      </c>
      <c r="X22">
        <v>13.447127388091502</v>
      </c>
      <c r="Y22">
        <v>6.3010884831976455</v>
      </c>
      <c r="Z22">
        <v>35.084570651938918</v>
      </c>
      <c r="AA22">
        <v>25.8</v>
      </c>
    </row>
    <row r="62" spans="1:3">
      <c r="B62" t="s">
        <v>101</v>
      </c>
      <c r="C62" t="s">
        <v>102</v>
      </c>
    </row>
    <row r="63" spans="1:3">
      <c r="B63">
        <v>1990</v>
      </c>
      <c r="C63">
        <v>2020</v>
      </c>
    </row>
    <row r="64" spans="1:3">
      <c r="A64" t="s">
        <v>32</v>
      </c>
      <c r="B64">
        <v>61.073499999999996</v>
      </c>
      <c r="C64">
        <v>53.720500000000001</v>
      </c>
    </row>
    <row r="65" spans="1:3">
      <c r="A65" t="s">
        <v>44</v>
      </c>
      <c r="B65">
        <v>52.636000000000003</v>
      </c>
      <c r="C65">
        <v>57.31</v>
      </c>
    </row>
    <row r="66" spans="1:3">
      <c r="A66" t="s">
        <v>13</v>
      </c>
      <c r="B66">
        <v>0</v>
      </c>
      <c r="C66">
        <v>34.557099999999998</v>
      </c>
    </row>
    <row r="67" spans="1:3">
      <c r="A67" t="s">
        <v>14</v>
      </c>
      <c r="B67">
        <v>28.052999999999997</v>
      </c>
      <c r="C67">
        <v>45.752999999999993</v>
      </c>
    </row>
    <row r="68" spans="1:3">
      <c r="A68" t="s">
        <v>12</v>
      </c>
      <c r="B68">
        <v>71.084999999999994</v>
      </c>
      <c r="C68">
        <v>61.859999999999992</v>
      </c>
    </row>
    <row r="69" spans="1:3">
      <c r="A69" t="s">
        <v>15</v>
      </c>
      <c r="B69">
        <v>35.962000000000003</v>
      </c>
      <c r="C69">
        <v>28.281999999999996</v>
      </c>
    </row>
    <row r="70" spans="1:3">
      <c r="A70" t="s">
        <v>38</v>
      </c>
      <c r="B70">
        <v>21.005416666666662</v>
      </c>
      <c r="C70">
        <v>28.967916666666667</v>
      </c>
    </row>
    <row r="71" spans="1:3">
      <c r="A71" t="s">
        <v>40</v>
      </c>
      <c r="B71">
        <v>46.229399999999998</v>
      </c>
      <c r="C71">
        <v>64.871399999999994</v>
      </c>
    </row>
    <row r="72" spans="1:3">
      <c r="A72" t="s">
        <v>11</v>
      </c>
      <c r="B72">
        <v>58.41</v>
      </c>
      <c r="C72">
        <v>82.41</v>
      </c>
    </row>
    <row r="73" spans="1:3">
      <c r="A73" t="s">
        <v>16</v>
      </c>
      <c r="B73">
        <v>47.828999999999994</v>
      </c>
      <c r="C73">
        <v>46.658999999999999</v>
      </c>
    </row>
    <row r="74" spans="1:3">
      <c r="A74" t="s">
        <v>20</v>
      </c>
      <c r="B74">
        <v>40.844800000000006</v>
      </c>
      <c r="C74">
        <v>48.428800000000003</v>
      </c>
    </row>
    <row r="75" spans="1:3">
      <c r="A75" t="s">
        <v>37</v>
      </c>
      <c r="B75">
        <v>72.775000000000006</v>
      </c>
      <c r="C75">
        <v>68.655000000000001</v>
      </c>
    </row>
    <row r="76" spans="1:3">
      <c r="A76" t="s">
        <v>33</v>
      </c>
      <c r="B76">
        <v>26.968999999999998</v>
      </c>
      <c r="C76">
        <v>55.94</v>
      </c>
    </row>
    <row r="83" spans="2:14" ht="30">
      <c r="B83" s="192" t="s">
        <v>30</v>
      </c>
      <c r="C83" s="192" t="s">
        <v>130</v>
      </c>
      <c r="D83" s="192" t="s">
        <v>44</v>
      </c>
      <c r="E83" s="192" t="s">
        <v>13</v>
      </c>
      <c r="F83" s="192" t="s">
        <v>20</v>
      </c>
      <c r="G83" s="192" t="s">
        <v>33</v>
      </c>
      <c r="H83" s="192" t="s">
        <v>16</v>
      </c>
      <c r="I83" s="192" t="s">
        <v>131</v>
      </c>
      <c r="J83" s="192" t="s">
        <v>31</v>
      </c>
      <c r="K83" s="192" t="s">
        <v>11</v>
      </c>
      <c r="L83" s="192" t="s">
        <v>12</v>
      </c>
      <c r="M83" s="192" t="s">
        <v>14</v>
      </c>
      <c r="N83" s="192" t="s">
        <v>40</v>
      </c>
    </row>
    <row r="84" spans="2:14">
      <c r="B84" s="193">
        <v>1.7273761258879805</v>
      </c>
      <c r="C84" s="193">
        <v>-1.0012190489982364</v>
      </c>
      <c r="D84" s="193">
        <v>1.3808124623820901</v>
      </c>
      <c r="E84" s="193">
        <v>1.7853135709336332</v>
      </c>
      <c r="F84" s="193">
        <v>2.6084625580040655E-2</v>
      </c>
      <c r="G84" s="193">
        <v>2.1243166671905733</v>
      </c>
      <c r="H84" s="193">
        <v>9.0214222454565451E-2</v>
      </c>
      <c r="I84" s="193">
        <v>-1.3376387902956699</v>
      </c>
      <c r="J84" s="193">
        <v>5.4319881446374119E-2</v>
      </c>
      <c r="K84" s="193">
        <v>1.1315505753742627</v>
      </c>
      <c r="L84" s="193">
        <v>1.1742216453798138</v>
      </c>
      <c r="M84" s="193">
        <v>0.12896237219093276</v>
      </c>
      <c r="N84" s="193">
        <v>0.79634958787939691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74"/>
  <sheetViews>
    <sheetView tabSelected="1" zoomScale="85" zoomScaleNormal="85" workbookViewId="0">
      <selection activeCell="P20" sqref="P20"/>
    </sheetView>
  </sheetViews>
  <sheetFormatPr defaultColWidth="9.140625" defaultRowHeight="15"/>
  <cols>
    <col min="1" max="1" width="30.140625" style="32" bestFit="1" customWidth="1"/>
    <col min="2" max="14" width="9.140625" style="32"/>
    <col min="15" max="15" width="12.140625" style="32" customWidth="1"/>
    <col min="16" max="16" width="11.7109375" style="32" customWidth="1"/>
    <col min="17" max="16384" width="9.140625" style="32"/>
  </cols>
  <sheetData>
    <row r="1" spans="1:30" ht="18.75" customHeight="1">
      <c r="A1" s="13">
        <v>2020</v>
      </c>
      <c r="B1" s="16" t="s">
        <v>40</v>
      </c>
      <c r="C1" s="16" t="s">
        <v>11</v>
      </c>
      <c r="D1" s="24" t="s">
        <v>12</v>
      </c>
      <c r="E1" s="16" t="s">
        <v>13</v>
      </c>
      <c r="F1" s="16" t="s">
        <v>14</v>
      </c>
      <c r="G1" s="16" t="s">
        <v>15</v>
      </c>
      <c r="H1" s="16" t="s">
        <v>44</v>
      </c>
      <c r="I1" s="16" t="s">
        <v>16</v>
      </c>
      <c r="J1" s="16" t="s">
        <v>20</v>
      </c>
      <c r="K1" s="24" t="s">
        <v>30</v>
      </c>
      <c r="L1" s="24" t="s">
        <v>31</v>
      </c>
      <c r="M1" s="16" t="s">
        <v>32</v>
      </c>
      <c r="N1" s="16" t="s">
        <v>33</v>
      </c>
      <c r="Q1" s="9"/>
      <c r="R1" s="16" t="s">
        <v>32</v>
      </c>
      <c r="S1" s="16" t="s">
        <v>44</v>
      </c>
      <c r="T1" s="16" t="s">
        <v>13</v>
      </c>
      <c r="U1" s="16" t="s">
        <v>14</v>
      </c>
      <c r="V1" s="24" t="s">
        <v>12</v>
      </c>
      <c r="W1" s="16" t="s">
        <v>15</v>
      </c>
      <c r="X1" s="24" t="s">
        <v>31</v>
      </c>
      <c r="Y1" s="16" t="s">
        <v>40</v>
      </c>
      <c r="Z1" s="16" t="s">
        <v>11</v>
      </c>
      <c r="AA1" s="16" t="s">
        <v>16</v>
      </c>
      <c r="AB1" s="16" t="s">
        <v>20</v>
      </c>
      <c r="AC1" s="24" t="s">
        <v>37</v>
      </c>
      <c r="AD1" s="16" t="s">
        <v>33</v>
      </c>
    </row>
    <row r="2" spans="1:30" ht="19.5" customHeight="1">
      <c r="A2" s="17" t="s">
        <v>34</v>
      </c>
      <c r="B2" s="29">
        <v>7.8703703703703692E-2</v>
      </c>
      <c r="C2" s="29">
        <v>5.3240740740740734E-2</v>
      </c>
      <c r="D2" s="29">
        <v>7.1759259259259259E-2</v>
      </c>
      <c r="E2" s="29">
        <v>6.25E-2</v>
      </c>
      <c r="F2" s="29">
        <v>9.0277777777777776E-2</v>
      </c>
      <c r="G2" s="29">
        <v>0.10185185185185186</v>
      </c>
      <c r="H2" s="29">
        <v>9.0277777777777776E-2</v>
      </c>
      <c r="I2" s="29">
        <v>4.6296296296296294E-2</v>
      </c>
      <c r="J2" s="29">
        <v>9.4907407407407399E-2</v>
      </c>
      <c r="K2" s="29">
        <v>7.407407407407407E-2</v>
      </c>
      <c r="L2" s="29">
        <v>7.1759259259259259E-2</v>
      </c>
      <c r="M2" s="29">
        <v>8.3333333333333329E-2</v>
      </c>
      <c r="N2" s="29">
        <v>8.1018518518518517E-2</v>
      </c>
      <c r="Q2" s="14">
        <v>2015</v>
      </c>
      <c r="R2" s="14">
        <f>M24</f>
        <v>33.522612046238081</v>
      </c>
      <c r="S2" s="14">
        <f>H24</f>
        <v>48.439565972222233</v>
      </c>
      <c r="T2" s="14">
        <f>E24</f>
        <v>30.849220103986134</v>
      </c>
      <c r="U2" s="14">
        <f>F24</f>
        <v>24.350086655112648</v>
      </c>
      <c r="V2" s="14">
        <f>D24</f>
        <v>44.351297405189626</v>
      </c>
      <c r="W2" s="14">
        <f>G24</f>
        <v>30.041225135134461</v>
      </c>
      <c r="X2" s="14">
        <f>L24</f>
        <v>28.305785123966952</v>
      </c>
      <c r="Y2" s="14">
        <f>B24</f>
        <v>57.62388818297331</v>
      </c>
      <c r="Z2" s="14">
        <f t="shared" ref="Z2" si="0">C24</f>
        <v>69.913043478260889</v>
      </c>
      <c r="AA2" s="14">
        <f t="shared" ref="AA2:AC3" si="1">I24</f>
        <v>38.900589721988204</v>
      </c>
      <c r="AB2" s="14">
        <f t="shared" si="1"/>
        <v>32.529176824436085</v>
      </c>
      <c r="AC2" s="14">
        <f t="shared" si="1"/>
        <v>27.603513174404021</v>
      </c>
      <c r="AD2" s="14">
        <f>N24</f>
        <v>41.351351351351319</v>
      </c>
    </row>
    <row r="3" spans="1:30" ht="19.5" customHeight="1">
      <c r="A3" s="15">
        <v>2015</v>
      </c>
      <c r="B3" s="173">
        <v>65.16</v>
      </c>
      <c r="C3" s="173">
        <v>0.77400000000000002</v>
      </c>
      <c r="D3" s="173">
        <v>2.5169999999999999</v>
      </c>
      <c r="E3" s="173">
        <v>28.4</v>
      </c>
      <c r="F3" s="173">
        <v>3.9649999999999999</v>
      </c>
      <c r="G3" s="173">
        <v>-0.91464154999999991</v>
      </c>
      <c r="H3" s="173">
        <v>57.301190000000005</v>
      </c>
      <c r="I3" s="173">
        <v>4.6859999999999999</v>
      </c>
      <c r="J3" s="173">
        <v>46.805522070599999</v>
      </c>
      <c r="K3" s="173">
        <v>7.79</v>
      </c>
      <c r="L3" s="173">
        <v>87.1</v>
      </c>
      <c r="M3" s="173">
        <v>52.06</v>
      </c>
      <c r="N3" s="173">
        <v>43.449999999999982</v>
      </c>
      <c r="Q3" s="14">
        <v>2020</v>
      </c>
      <c r="R3" s="14">
        <f>M25</f>
        <v>35.987776030341621</v>
      </c>
      <c r="S3" s="14">
        <f>H25</f>
        <v>57.634730538922156</v>
      </c>
      <c r="T3" s="14">
        <f>E25</f>
        <v>32.952380952380949</v>
      </c>
      <c r="U3" s="14">
        <f>F25</f>
        <v>26.544240400667775</v>
      </c>
      <c r="V3" s="14">
        <f>D25</f>
        <v>37.879968823070918</v>
      </c>
      <c r="W3" s="14">
        <f>G25</f>
        <v>25.05293901016838</v>
      </c>
      <c r="X3" s="14">
        <f>L25</f>
        <v>29.652351738241311</v>
      </c>
      <c r="Y3" s="14">
        <f>B25</f>
        <v>59.088697908221178</v>
      </c>
      <c r="Z3" s="14">
        <f t="shared" ref="Z3" si="2">C25</f>
        <v>69.094138543516863</v>
      </c>
      <c r="AA3" s="14">
        <f t="shared" si="1"/>
        <v>40.159868747376848</v>
      </c>
      <c r="AB3" s="14">
        <f t="shared" si="1"/>
        <v>35.752212389380531</v>
      </c>
      <c r="AC3" s="14">
        <f t="shared" si="1"/>
        <v>16.190552790513426</v>
      </c>
      <c r="AD3" s="14">
        <f>N25</f>
        <v>42.404006677796325</v>
      </c>
    </row>
    <row r="4" spans="1:30" ht="20.25" customHeight="1">
      <c r="A4" s="15">
        <v>2020</v>
      </c>
      <c r="B4" s="173">
        <v>67.5</v>
      </c>
      <c r="C4" s="173">
        <v>0.78300000000000003</v>
      </c>
      <c r="D4" s="173">
        <v>2.6720000000000002</v>
      </c>
      <c r="E4" s="173">
        <v>30.9</v>
      </c>
      <c r="F4" s="173">
        <v>4.25</v>
      </c>
      <c r="G4" s="173">
        <v>-1.1499999999999999</v>
      </c>
      <c r="H4" s="173">
        <v>58.5</v>
      </c>
      <c r="I4" s="173">
        <v>4.6719999999999997</v>
      </c>
      <c r="J4" s="173">
        <v>48.1</v>
      </c>
      <c r="K4" s="173">
        <v>8.4909463295494394</v>
      </c>
      <c r="L4" s="173">
        <v>83.4</v>
      </c>
      <c r="M4" s="173">
        <v>52.965924687079784</v>
      </c>
      <c r="N4" s="173">
        <v>48</v>
      </c>
      <c r="Q4" s="32" t="s">
        <v>23</v>
      </c>
      <c r="R4" s="32">
        <v>100</v>
      </c>
      <c r="S4" s="32">
        <v>100</v>
      </c>
      <c r="T4" s="32">
        <v>100</v>
      </c>
      <c r="U4" s="32">
        <v>100</v>
      </c>
      <c r="V4" s="32">
        <v>100</v>
      </c>
      <c r="W4" s="32">
        <v>100</v>
      </c>
      <c r="X4" s="32">
        <v>100</v>
      </c>
      <c r="Y4" s="32">
        <v>100</v>
      </c>
      <c r="Z4" s="32">
        <v>100</v>
      </c>
      <c r="AA4" s="32">
        <v>100</v>
      </c>
      <c r="AB4" s="32">
        <v>100</v>
      </c>
      <c r="AC4" s="32">
        <v>100</v>
      </c>
      <c r="AD4" s="32">
        <v>100</v>
      </c>
    </row>
    <row r="5" spans="1:30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Q5" s="32" t="s">
        <v>24</v>
      </c>
      <c r="R5" s="32">
        <v>5</v>
      </c>
      <c r="S5" s="32">
        <v>5</v>
      </c>
      <c r="T5" s="32">
        <v>5</v>
      </c>
      <c r="U5" s="32">
        <v>5</v>
      </c>
      <c r="V5" s="32">
        <v>5</v>
      </c>
      <c r="W5" s="32">
        <v>5</v>
      </c>
      <c r="X5" s="32">
        <v>5</v>
      </c>
      <c r="Y5" s="32">
        <v>5</v>
      </c>
      <c r="Z5" s="32">
        <v>5</v>
      </c>
      <c r="AA5" s="32">
        <v>5</v>
      </c>
      <c r="AB5" s="32">
        <v>5</v>
      </c>
      <c r="AC5" s="32">
        <v>5</v>
      </c>
      <c r="AD5" s="32">
        <v>5</v>
      </c>
    </row>
    <row r="6" spans="1:30">
      <c r="A6" s="14" t="s">
        <v>19</v>
      </c>
      <c r="B6" s="20">
        <v>100</v>
      </c>
      <c r="C6" s="20">
        <v>1</v>
      </c>
      <c r="D6" s="20">
        <v>1</v>
      </c>
      <c r="E6" s="20">
        <v>100</v>
      </c>
      <c r="F6" s="20">
        <v>10</v>
      </c>
      <c r="G6" s="20">
        <v>2.5</v>
      </c>
      <c r="H6" s="20">
        <v>100</v>
      </c>
      <c r="I6" s="20">
        <v>10</v>
      </c>
      <c r="J6" s="20">
        <v>100</v>
      </c>
      <c r="K6" s="20">
        <v>1</v>
      </c>
      <c r="L6" s="20">
        <v>120</v>
      </c>
      <c r="M6" s="20">
        <v>100</v>
      </c>
      <c r="N6" s="20">
        <v>100</v>
      </c>
    </row>
    <row r="7" spans="1:30">
      <c r="A7" s="14" t="s">
        <v>18</v>
      </c>
      <c r="B7" s="21">
        <v>0</v>
      </c>
      <c r="C7" s="20">
        <v>0</v>
      </c>
      <c r="D7" s="20">
        <v>5</v>
      </c>
      <c r="E7" s="20">
        <v>0</v>
      </c>
      <c r="F7" s="20">
        <v>0</v>
      </c>
      <c r="G7" s="20">
        <v>-2.5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</row>
    <row r="9" spans="1:30">
      <c r="A9" s="14" t="s">
        <v>119</v>
      </c>
      <c r="B9" s="20">
        <v>91.84</v>
      </c>
      <c r="C9" s="20">
        <v>0.94699999999999995</v>
      </c>
      <c r="D9" s="20">
        <v>1.123</v>
      </c>
      <c r="E9" s="20">
        <v>68.3</v>
      </c>
      <c r="F9" s="20">
        <v>8.33</v>
      </c>
      <c r="G9" s="20">
        <v>1.8641000000000001</v>
      </c>
      <c r="H9" s="20">
        <v>87</v>
      </c>
      <c r="I9" s="20">
        <v>7.5869999999999997</v>
      </c>
      <c r="J9" s="20">
        <v>82.7</v>
      </c>
      <c r="K9" s="20">
        <v>2.02</v>
      </c>
      <c r="L9" s="20">
        <v>17.7</v>
      </c>
      <c r="M9" s="20">
        <v>84.84</v>
      </c>
      <c r="N9" s="20">
        <v>76</v>
      </c>
    </row>
    <row r="10" spans="1:30">
      <c r="A10" s="14" t="s">
        <v>120</v>
      </c>
      <c r="B10" s="20">
        <v>28.88</v>
      </c>
      <c r="C10" s="20">
        <v>0.372</v>
      </c>
      <c r="D10" s="20">
        <v>3.6280000000000001</v>
      </c>
      <c r="E10" s="20">
        <v>10.6</v>
      </c>
      <c r="F10" s="20">
        <v>2.56</v>
      </c>
      <c r="G10" s="20">
        <v>-2.1078700000000001</v>
      </c>
      <c r="H10" s="20">
        <v>29.4</v>
      </c>
      <c r="I10" s="20">
        <v>2.839</v>
      </c>
      <c r="J10" s="20">
        <v>29.5</v>
      </c>
      <c r="K10" s="20">
        <v>9.99</v>
      </c>
      <c r="L10" s="20">
        <v>114.5</v>
      </c>
      <c r="M10" s="20">
        <v>35.53</v>
      </c>
      <c r="N10" s="20">
        <v>20.5</v>
      </c>
    </row>
    <row r="11" spans="1:30">
      <c r="A11" s="14" t="s">
        <v>23</v>
      </c>
      <c r="B11" s="22">
        <f>B9</f>
        <v>91.84</v>
      </c>
      <c r="C11" s="22">
        <f>C9*100</f>
        <v>94.699999999999989</v>
      </c>
      <c r="D11" s="22">
        <f>(4-(D9-1))*25</f>
        <v>96.924999999999997</v>
      </c>
      <c r="E11" s="22">
        <f>E9</f>
        <v>68.3</v>
      </c>
      <c r="F11" s="22">
        <f>F9*10</f>
        <v>83.3</v>
      </c>
      <c r="G11" s="22">
        <f>(G9+2.5)*20</f>
        <v>87.282000000000011</v>
      </c>
      <c r="H11" s="22">
        <f>H9</f>
        <v>87</v>
      </c>
      <c r="I11" s="22">
        <f>I9*10</f>
        <v>75.87</v>
      </c>
      <c r="J11" s="22">
        <f>J9</f>
        <v>82.7</v>
      </c>
      <c r="K11" s="22">
        <f>(10-K9)*100/10</f>
        <v>79.8</v>
      </c>
      <c r="L11" s="22">
        <f>100-(100*L9/120)</f>
        <v>85.25</v>
      </c>
      <c r="M11" s="22">
        <f>M9</f>
        <v>84.84</v>
      </c>
      <c r="N11" s="22">
        <f>N9</f>
        <v>76</v>
      </c>
      <c r="O11" s="32" t="s">
        <v>35</v>
      </c>
    </row>
    <row r="12" spans="1:30">
      <c r="A12" s="14" t="s">
        <v>24</v>
      </c>
      <c r="B12" s="22">
        <f>B10</f>
        <v>28.88</v>
      </c>
      <c r="C12" s="22">
        <f>C10*100</f>
        <v>37.200000000000003</v>
      </c>
      <c r="D12" s="22">
        <f>(4-(D10-1))*25</f>
        <v>34.299999999999997</v>
      </c>
      <c r="E12" s="22">
        <f>E10</f>
        <v>10.6</v>
      </c>
      <c r="F12" s="22">
        <f>F10*10</f>
        <v>25.6</v>
      </c>
      <c r="G12" s="22">
        <f>(G10+2.5)*20</f>
        <v>7.8425999999999974</v>
      </c>
      <c r="H12" s="22">
        <f>H10</f>
        <v>29.4</v>
      </c>
      <c r="I12" s="22">
        <f>I10*10</f>
        <v>28.39</v>
      </c>
      <c r="J12" s="22">
        <f>J10</f>
        <v>29.5</v>
      </c>
      <c r="K12" s="22">
        <f>(10-K10)*100/10</f>
        <v>9.9999999999997868E-2</v>
      </c>
      <c r="L12" s="22">
        <f>100-(100*L10/120)</f>
        <v>4.5833333333333286</v>
      </c>
      <c r="M12" s="22">
        <f>M10</f>
        <v>35.53</v>
      </c>
      <c r="N12" s="22">
        <f>N10</f>
        <v>20.5</v>
      </c>
      <c r="O12" s="32" t="s">
        <v>35</v>
      </c>
    </row>
    <row r="13" spans="1:30"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</row>
    <row r="14" spans="1:30">
      <c r="A14" s="14" t="s">
        <v>121</v>
      </c>
      <c r="B14" s="20">
        <v>92.73</v>
      </c>
      <c r="C14" s="20">
        <v>0.95699999999999996</v>
      </c>
      <c r="D14" s="20">
        <v>1.0780000000000001</v>
      </c>
      <c r="E14" s="20">
        <v>66.099999999999994</v>
      </c>
      <c r="F14" s="20">
        <v>8.65</v>
      </c>
      <c r="G14" s="20">
        <v>1.7805500000000001</v>
      </c>
      <c r="H14" s="20">
        <v>86.8</v>
      </c>
      <c r="I14" s="20">
        <v>7.8087</v>
      </c>
      <c r="J14" s="20">
        <v>84.4</v>
      </c>
      <c r="K14" s="20">
        <v>1.87</v>
      </c>
      <c r="L14" s="20">
        <v>14.6</v>
      </c>
      <c r="M14" s="20">
        <v>84.78</v>
      </c>
      <c r="N14" s="20">
        <v>82.5</v>
      </c>
    </row>
    <row r="15" spans="1:30">
      <c r="A15" s="14" t="s">
        <v>122</v>
      </c>
      <c r="B15" s="20">
        <v>31.06</v>
      </c>
      <c r="C15" s="20">
        <v>0.39400000000000002</v>
      </c>
      <c r="D15" s="20">
        <v>3.6440000000000001</v>
      </c>
      <c r="E15" s="20">
        <v>13.6</v>
      </c>
      <c r="F15" s="20">
        <v>2.66</v>
      </c>
      <c r="G15" s="20">
        <v>-2.12961</v>
      </c>
      <c r="H15" s="20">
        <v>20</v>
      </c>
      <c r="I15" s="20">
        <v>2.5669</v>
      </c>
      <c r="J15" s="20">
        <v>27.9</v>
      </c>
      <c r="K15" s="20">
        <v>9.77</v>
      </c>
      <c r="L15" s="20">
        <v>112.4</v>
      </c>
      <c r="M15" s="20">
        <v>35.08</v>
      </c>
      <c r="N15" s="20">
        <v>22.6</v>
      </c>
    </row>
    <row r="16" spans="1:30">
      <c r="A16" s="14" t="s">
        <v>23</v>
      </c>
      <c r="B16" s="22">
        <f>B14</f>
        <v>92.73</v>
      </c>
      <c r="C16" s="22">
        <f>C14*100</f>
        <v>95.7</v>
      </c>
      <c r="D16" s="22">
        <f>(4-(D14-1))*25</f>
        <v>98.05</v>
      </c>
      <c r="E16" s="22">
        <f>E14</f>
        <v>66.099999999999994</v>
      </c>
      <c r="F16" s="22">
        <f>F14*10</f>
        <v>86.5</v>
      </c>
      <c r="G16" s="22">
        <f>(G14+2.5)*20</f>
        <v>85.61099999999999</v>
      </c>
      <c r="H16" s="22">
        <f>H14</f>
        <v>86.8</v>
      </c>
      <c r="I16" s="22">
        <f>I14*10</f>
        <v>78.087000000000003</v>
      </c>
      <c r="J16" s="22">
        <f>J14</f>
        <v>84.4</v>
      </c>
      <c r="K16" s="22">
        <f>(10-K14)*100/10</f>
        <v>81.299999999999983</v>
      </c>
      <c r="L16" s="22">
        <f>100-(100*L14/120)</f>
        <v>87.833333333333329</v>
      </c>
      <c r="M16" s="22">
        <f>M14</f>
        <v>84.78</v>
      </c>
      <c r="N16" s="22">
        <f>N14</f>
        <v>82.5</v>
      </c>
      <c r="O16" s="32" t="s">
        <v>35</v>
      </c>
    </row>
    <row r="17" spans="1:15">
      <c r="A17" s="14" t="s">
        <v>24</v>
      </c>
      <c r="B17" s="22">
        <f>B15</f>
        <v>31.06</v>
      </c>
      <c r="C17" s="22">
        <f>C15*100</f>
        <v>39.4</v>
      </c>
      <c r="D17" s="22">
        <f>(4-(D15-1))*25</f>
        <v>33.9</v>
      </c>
      <c r="E17" s="22">
        <f>E15</f>
        <v>13.6</v>
      </c>
      <c r="F17" s="22">
        <f>F15*10</f>
        <v>26.6</v>
      </c>
      <c r="G17" s="22">
        <f>(G15+2.5)*20</f>
        <v>7.4077999999999999</v>
      </c>
      <c r="H17" s="22">
        <f>H15</f>
        <v>20</v>
      </c>
      <c r="I17" s="22">
        <f>I15*10</f>
        <v>25.669</v>
      </c>
      <c r="J17" s="22">
        <f>J15</f>
        <v>27.9</v>
      </c>
      <c r="K17" s="22">
        <f>(10-K15)*100/10</f>
        <v>2.3000000000000043</v>
      </c>
      <c r="L17" s="22">
        <f>100-(100*L15/120)</f>
        <v>6.3333333333333286</v>
      </c>
      <c r="M17" s="22">
        <f>M15</f>
        <v>35.08</v>
      </c>
      <c r="N17" s="22">
        <f>N15</f>
        <v>22.6</v>
      </c>
      <c r="O17" s="32" t="s">
        <v>35</v>
      </c>
    </row>
    <row r="18" spans="1:15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</row>
    <row r="19" spans="1:15" ht="21.75">
      <c r="A19" s="8" t="s">
        <v>35</v>
      </c>
      <c r="B19" s="25" t="s">
        <v>40</v>
      </c>
      <c r="C19" s="25" t="s">
        <v>11</v>
      </c>
      <c r="D19" s="25" t="s">
        <v>12</v>
      </c>
      <c r="E19" s="25" t="s">
        <v>13</v>
      </c>
      <c r="F19" s="25" t="s">
        <v>14</v>
      </c>
      <c r="G19" s="25" t="s">
        <v>15</v>
      </c>
      <c r="H19" s="25" t="s">
        <v>44</v>
      </c>
      <c r="I19" s="25" t="s">
        <v>16</v>
      </c>
      <c r="J19" s="25" t="s">
        <v>20</v>
      </c>
      <c r="K19" s="25" t="s">
        <v>37</v>
      </c>
      <c r="L19" s="25" t="s">
        <v>38</v>
      </c>
      <c r="M19" s="25" t="s">
        <v>32</v>
      </c>
      <c r="N19" s="25" t="s">
        <v>33</v>
      </c>
    </row>
    <row r="20" spans="1:15">
      <c r="A20" s="6">
        <v>2015</v>
      </c>
      <c r="B20" s="22">
        <f>B3</f>
        <v>65.16</v>
      </c>
      <c r="C20" s="22">
        <f>C3*100</f>
        <v>77.400000000000006</v>
      </c>
      <c r="D20" s="22">
        <f>(5-D3)*25</f>
        <v>62.075000000000003</v>
      </c>
      <c r="E20" s="22">
        <f>E3</f>
        <v>28.4</v>
      </c>
      <c r="F20" s="22">
        <f>F3*10</f>
        <v>39.65</v>
      </c>
      <c r="G20" s="22">
        <f>(G3+2.5)*20</f>
        <v>31.707169000000004</v>
      </c>
      <c r="H20" s="22">
        <f>H3</f>
        <v>57.301190000000005</v>
      </c>
      <c r="I20" s="22">
        <f>I3*10</f>
        <v>46.86</v>
      </c>
      <c r="J20" s="22">
        <f>J3</f>
        <v>46.805522070599999</v>
      </c>
      <c r="K20" s="22">
        <f>(10-K3)*100/10</f>
        <v>22.1</v>
      </c>
      <c r="L20" s="22">
        <f>100-(100*L3/120)</f>
        <v>27.416666666666671</v>
      </c>
      <c r="M20" s="22">
        <f>M3</f>
        <v>52.06</v>
      </c>
      <c r="N20" s="22">
        <f>N3</f>
        <v>43.449999999999982</v>
      </c>
    </row>
    <row r="21" spans="1:15">
      <c r="A21" s="6">
        <v>2020</v>
      </c>
      <c r="B21" s="22">
        <f>B4</f>
        <v>67.5</v>
      </c>
      <c r="C21" s="22">
        <f>C4*100</f>
        <v>78.3</v>
      </c>
      <c r="D21" s="22">
        <f>(5-D4)*25</f>
        <v>58.199999999999996</v>
      </c>
      <c r="E21" s="22">
        <f>E4</f>
        <v>30.9</v>
      </c>
      <c r="F21" s="22">
        <f>F4*10</f>
        <v>42.5</v>
      </c>
      <c r="G21" s="22">
        <f>(G4+2.5)*20</f>
        <v>27</v>
      </c>
      <c r="H21" s="22">
        <f>H4</f>
        <v>58.5</v>
      </c>
      <c r="I21" s="22">
        <f>I4*10</f>
        <v>46.72</v>
      </c>
      <c r="J21" s="22">
        <f>J4</f>
        <v>48.1</v>
      </c>
      <c r="K21" s="22">
        <f>(10-K4)*100/10</f>
        <v>15.090536704505606</v>
      </c>
      <c r="L21" s="22">
        <f>100-(100*L4/120)</f>
        <v>30.5</v>
      </c>
      <c r="M21" s="22">
        <f>M4</f>
        <v>52.965924687079784</v>
      </c>
      <c r="N21" s="22">
        <f>N4</f>
        <v>48</v>
      </c>
    </row>
    <row r="23" spans="1:15" ht="21.75">
      <c r="A23" s="9" t="s">
        <v>36</v>
      </c>
      <c r="B23" s="25" t="s">
        <v>40</v>
      </c>
      <c r="C23" s="25" t="s">
        <v>11</v>
      </c>
      <c r="D23" s="25" t="s">
        <v>12</v>
      </c>
      <c r="E23" s="25" t="s">
        <v>13</v>
      </c>
      <c r="F23" s="25" t="s">
        <v>14</v>
      </c>
      <c r="G23" s="25" t="s">
        <v>15</v>
      </c>
      <c r="H23" s="25" t="s">
        <v>44</v>
      </c>
      <c r="I23" s="25" t="s">
        <v>16</v>
      </c>
      <c r="J23" s="25" t="s">
        <v>20</v>
      </c>
      <c r="K23" s="25" t="s">
        <v>37</v>
      </c>
      <c r="L23" s="25" t="s">
        <v>38</v>
      </c>
      <c r="M23" s="25" t="s">
        <v>32</v>
      </c>
      <c r="N23" s="25" t="s">
        <v>33</v>
      </c>
    </row>
    <row r="24" spans="1:15">
      <c r="A24" s="8">
        <v>2015</v>
      </c>
      <c r="B24" s="8">
        <f>(B20-B12)*100/(B11-B12)</f>
        <v>57.62388818297331</v>
      </c>
      <c r="C24" s="8">
        <f t="shared" ref="C24:N24" si="3">(C20-C12)*100/(C11-C12)</f>
        <v>69.913043478260889</v>
      </c>
      <c r="D24" s="8">
        <f t="shared" si="3"/>
        <v>44.351297405189626</v>
      </c>
      <c r="E24" s="8">
        <f t="shared" si="3"/>
        <v>30.849220103986134</v>
      </c>
      <c r="F24" s="8">
        <f t="shared" si="3"/>
        <v>24.350086655112648</v>
      </c>
      <c r="G24" s="8">
        <f t="shared" si="3"/>
        <v>30.041225135134461</v>
      </c>
      <c r="H24" s="8">
        <f t="shared" si="3"/>
        <v>48.439565972222233</v>
      </c>
      <c r="I24" s="8">
        <f t="shared" si="3"/>
        <v>38.900589721988204</v>
      </c>
      <c r="J24" s="8">
        <f t="shared" si="3"/>
        <v>32.529176824436085</v>
      </c>
      <c r="K24" s="8">
        <f t="shared" si="3"/>
        <v>27.603513174404021</v>
      </c>
      <c r="L24" s="8">
        <f t="shared" si="3"/>
        <v>28.305785123966952</v>
      </c>
      <c r="M24" s="8">
        <f t="shared" si="3"/>
        <v>33.522612046238081</v>
      </c>
      <c r="N24" s="8">
        <f t="shared" si="3"/>
        <v>41.351351351351319</v>
      </c>
    </row>
    <row r="25" spans="1:15">
      <c r="A25" s="8">
        <v>2020</v>
      </c>
      <c r="B25" s="8">
        <f>(B21-B17)*100/(B16-B17)</f>
        <v>59.088697908221178</v>
      </c>
      <c r="C25" s="8">
        <f t="shared" ref="C25:N25" si="4">(C21-C17)*100/(C16-C17)</f>
        <v>69.094138543516863</v>
      </c>
      <c r="D25" s="8">
        <f t="shared" si="4"/>
        <v>37.879968823070918</v>
      </c>
      <c r="E25" s="8">
        <f t="shared" si="4"/>
        <v>32.952380952380949</v>
      </c>
      <c r="F25" s="8">
        <f t="shared" si="4"/>
        <v>26.544240400667775</v>
      </c>
      <c r="G25" s="8">
        <f t="shared" si="4"/>
        <v>25.05293901016838</v>
      </c>
      <c r="H25" s="8">
        <f t="shared" si="4"/>
        <v>57.634730538922156</v>
      </c>
      <c r="I25" s="8">
        <f t="shared" si="4"/>
        <v>40.159868747376848</v>
      </c>
      <c r="J25" s="8">
        <f t="shared" si="4"/>
        <v>35.752212389380531</v>
      </c>
      <c r="K25" s="8">
        <f>(K21-K17)*100/(K16-K17)</f>
        <v>16.190552790513426</v>
      </c>
      <c r="L25" s="8">
        <f t="shared" si="4"/>
        <v>29.652351738241311</v>
      </c>
      <c r="M25" s="8">
        <f t="shared" si="4"/>
        <v>35.987776030341621</v>
      </c>
      <c r="N25" s="8">
        <f t="shared" si="4"/>
        <v>42.404006677796325</v>
      </c>
    </row>
    <row r="27" spans="1:15">
      <c r="A27" s="23"/>
      <c r="B27" s="32" t="s">
        <v>103</v>
      </c>
      <c r="C27" s="32" t="s">
        <v>128</v>
      </c>
      <c r="D27" s="32" t="s">
        <v>129</v>
      </c>
      <c r="G27" s="23"/>
    </row>
    <row r="28" spans="1:15">
      <c r="A28" s="1">
        <v>2015</v>
      </c>
      <c r="B28" s="170">
        <f>AVERAGE(B20:N20)</f>
        <v>46.18350367209743</v>
      </c>
      <c r="C28" s="170">
        <f>AVERAGE(B24:N24)</f>
        <v>39.060104244251072</v>
      </c>
      <c r="D28" s="170">
        <f>C36</f>
        <v>26.340847714292739</v>
      </c>
      <c r="G28" s="1">
        <v>2015</v>
      </c>
    </row>
    <row r="29" spans="1:15">
      <c r="A29" s="1">
        <v>2020</v>
      </c>
      <c r="B29" s="170">
        <f>AVERAGE(B21:N21)</f>
        <v>46.482804722429641</v>
      </c>
      <c r="C29" s="170">
        <f>AVERAGE(B25:N25)</f>
        <v>39.10722035004602</v>
      </c>
      <c r="D29" s="170">
        <f>C37</f>
        <v>24.73841091920205</v>
      </c>
      <c r="G29" s="1">
        <v>2020</v>
      </c>
    </row>
    <row r="30" spans="1:15">
      <c r="M30" s="32" t="s">
        <v>39</v>
      </c>
    </row>
    <row r="31" spans="1:15">
      <c r="D31" s="32" t="s">
        <v>51</v>
      </c>
    </row>
    <row r="32" spans="1:15">
      <c r="A32" s="32" t="s">
        <v>56</v>
      </c>
      <c r="B32" s="32">
        <f>(B24-$C$28)^2+(C24-$C$28)^2+(D24-$C$28)^2+(E24-$C$28)^2+(F24-$C$28)^2+(G24-$C$28)^2+(H24-$C$28)^2+(I24-$C$28)^2+(J24-$C$28)^2+(K24-$C$28)^2+(L24-$C$28)^2+(M24-$C$28)^2+(N24-$C$28)^2</f>
        <v>2103.1333267735404</v>
      </c>
      <c r="C32" s="32">
        <f>(B32/13)^0.5</f>
        <v>12.719256529958335</v>
      </c>
      <c r="D32" s="1">
        <f>C32/C28</f>
        <v>0.32563293867374599</v>
      </c>
    </row>
    <row r="33" spans="1:30">
      <c r="A33" s="32" t="s">
        <v>55</v>
      </c>
      <c r="B33" s="32">
        <f>(B25-$C$29)^2+(C25-$C$29)^2+(D25-$C$29)^2+(E25-$C$29)^2+(F25-$C$29)^2+(G25-$C$29)^2+(H25-$C$29)^2+(I25-$C$29)^2+(J25-$C$29)^2+(K25-$C$29)^2+(L25-$C$29)^2+(M25-$C$29)^2+(N25-$C$29)^2</f>
        <v>2684.0148979788382</v>
      </c>
      <c r="C33" s="32">
        <f>(B33/13)^0.5</f>
        <v>14.368809430843971</v>
      </c>
      <c r="D33" s="1">
        <f>C33/C29</f>
        <v>0.36742088295280906</v>
      </c>
    </row>
    <row r="35" spans="1:30" ht="21.75">
      <c r="A35" s="32" t="s">
        <v>52</v>
      </c>
      <c r="Q35" s="9"/>
      <c r="R35" s="16" t="s">
        <v>32</v>
      </c>
      <c r="S35" s="16" t="s">
        <v>44</v>
      </c>
      <c r="T35" s="16" t="s">
        <v>13</v>
      </c>
      <c r="U35" s="16" t="s">
        <v>14</v>
      </c>
      <c r="V35" s="24" t="s">
        <v>12</v>
      </c>
      <c r="W35" s="16" t="s">
        <v>15</v>
      </c>
      <c r="X35" s="24" t="s">
        <v>31</v>
      </c>
      <c r="Y35" s="16" t="s">
        <v>40</v>
      </c>
      <c r="Z35" s="16" t="s">
        <v>11</v>
      </c>
      <c r="AA35" s="16" t="s">
        <v>16</v>
      </c>
      <c r="AB35" s="16" t="s">
        <v>20</v>
      </c>
      <c r="AC35" s="24" t="s">
        <v>37</v>
      </c>
      <c r="AD35" s="16" t="s">
        <v>33</v>
      </c>
    </row>
    <row r="36" spans="1:30">
      <c r="A36" s="32">
        <v>2015</v>
      </c>
      <c r="C36" s="32">
        <f>(1-D32)*C28</f>
        <v>26.340847714292739</v>
      </c>
      <c r="Q36" s="32" t="s">
        <v>124</v>
      </c>
      <c r="R36" s="32">
        <f>M20</f>
        <v>52.06</v>
      </c>
      <c r="S36" s="32">
        <f>H20</f>
        <v>57.301190000000005</v>
      </c>
      <c r="T36" s="32">
        <f>E20</f>
        <v>28.4</v>
      </c>
      <c r="U36" s="32">
        <f>F20</f>
        <v>39.65</v>
      </c>
      <c r="V36" s="32">
        <f>D20</f>
        <v>62.075000000000003</v>
      </c>
      <c r="W36" s="32">
        <f>G20</f>
        <v>31.707169000000004</v>
      </c>
      <c r="X36" s="32">
        <f>L20</f>
        <v>27.416666666666671</v>
      </c>
      <c r="Y36" s="32">
        <f>B20</f>
        <v>65.16</v>
      </c>
      <c r="Z36" s="32">
        <f>C20</f>
        <v>77.400000000000006</v>
      </c>
      <c r="AA36" s="32">
        <f t="shared" ref="AA36:AC37" si="5">I20</f>
        <v>46.86</v>
      </c>
      <c r="AB36" s="32">
        <f t="shared" si="5"/>
        <v>46.805522070599999</v>
      </c>
      <c r="AC36" s="32">
        <f t="shared" si="5"/>
        <v>22.1</v>
      </c>
      <c r="AD36" s="32">
        <f>N20</f>
        <v>43.449999999999982</v>
      </c>
    </row>
    <row r="37" spans="1:30">
      <c r="A37" s="32">
        <v>2018</v>
      </c>
      <c r="C37" s="32">
        <f>(1-D33)*C29</f>
        <v>24.73841091920205</v>
      </c>
      <c r="Q37" s="32" t="s">
        <v>123</v>
      </c>
      <c r="R37" s="32">
        <f>M21</f>
        <v>52.965924687079784</v>
      </c>
      <c r="S37" s="32">
        <f>H21</f>
        <v>58.5</v>
      </c>
      <c r="T37" s="32">
        <f>E21</f>
        <v>30.9</v>
      </c>
      <c r="U37" s="32">
        <f>F21</f>
        <v>42.5</v>
      </c>
      <c r="V37" s="32">
        <f>D21</f>
        <v>58.199999999999996</v>
      </c>
      <c r="W37" s="32">
        <f>G21</f>
        <v>27</v>
      </c>
      <c r="X37" s="32">
        <f>L21</f>
        <v>30.5</v>
      </c>
      <c r="Y37" s="32">
        <f>B21</f>
        <v>67.5</v>
      </c>
      <c r="Z37" s="32">
        <f>C21</f>
        <v>78.3</v>
      </c>
      <c r="AA37" s="32">
        <f t="shared" si="5"/>
        <v>46.72</v>
      </c>
      <c r="AB37" s="32">
        <f t="shared" si="5"/>
        <v>48.1</v>
      </c>
      <c r="AC37" s="32">
        <f t="shared" si="5"/>
        <v>15.090536704505606</v>
      </c>
      <c r="AD37" s="32">
        <f>N21</f>
        <v>48</v>
      </c>
    </row>
    <row r="38" spans="1:30">
      <c r="Q38" s="14" t="s">
        <v>23</v>
      </c>
      <c r="R38" s="32">
        <f>M16</f>
        <v>84.78</v>
      </c>
      <c r="S38" s="32">
        <f>H16</f>
        <v>86.8</v>
      </c>
      <c r="T38" s="32">
        <f>E16</f>
        <v>66.099999999999994</v>
      </c>
      <c r="U38" s="32">
        <f>F16</f>
        <v>86.5</v>
      </c>
      <c r="V38" s="32">
        <f>D16</f>
        <v>98.05</v>
      </c>
      <c r="W38" s="32">
        <f>G16</f>
        <v>85.61099999999999</v>
      </c>
      <c r="X38" s="32">
        <f>L16</f>
        <v>87.833333333333329</v>
      </c>
      <c r="Y38" s="32">
        <f>B16</f>
        <v>92.73</v>
      </c>
      <c r="Z38" s="32">
        <f>C16</f>
        <v>95.7</v>
      </c>
      <c r="AA38" s="32">
        <f t="shared" ref="AA38:AC39" si="6">I16</f>
        <v>78.087000000000003</v>
      </c>
      <c r="AB38" s="32">
        <f t="shared" si="6"/>
        <v>84.4</v>
      </c>
      <c r="AC38" s="32">
        <f t="shared" si="6"/>
        <v>81.299999999999983</v>
      </c>
      <c r="AD38" s="32">
        <f>N16</f>
        <v>82.5</v>
      </c>
    </row>
    <row r="39" spans="1:30">
      <c r="Q39" s="14" t="s">
        <v>24</v>
      </c>
      <c r="R39" s="32">
        <f>M17</f>
        <v>35.08</v>
      </c>
      <c r="S39" s="32">
        <f>H17</f>
        <v>20</v>
      </c>
      <c r="T39" s="32">
        <f>E17</f>
        <v>13.6</v>
      </c>
      <c r="U39" s="32">
        <f>F17</f>
        <v>26.6</v>
      </c>
      <c r="V39" s="32">
        <f>D17</f>
        <v>33.9</v>
      </c>
      <c r="W39" s="32">
        <f>G17</f>
        <v>7.4077999999999999</v>
      </c>
      <c r="X39" s="32">
        <f>L17</f>
        <v>6.3333333333333286</v>
      </c>
      <c r="Y39" s="32">
        <f>B17</f>
        <v>31.06</v>
      </c>
      <c r="Z39" s="32">
        <f>C17</f>
        <v>39.4</v>
      </c>
      <c r="AA39" s="32">
        <f t="shared" si="6"/>
        <v>25.669</v>
      </c>
      <c r="AB39" s="32">
        <f t="shared" si="6"/>
        <v>27.9</v>
      </c>
      <c r="AC39" s="32">
        <f t="shared" si="6"/>
        <v>2.3000000000000043</v>
      </c>
      <c r="AD39" s="32">
        <f>N17</f>
        <v>22.6</v>
      </c>
    </row>
    <row r="40" spans="1:30">
      <c r="A40" s="1" t="s">
        <v>57</v>
      </c>
      <c r="B40" s="1">
        <f>(C29-C28)/C28</f>
        <v>1.2062462890606177E-3</v>
      </c>
      <c r="C40" s="1">
        <f>(D29-D28)/D28</f>
        <v>-6.0834670640504677E-2</v>
      </c>
    </row>
    <row r="41" spans="1:30" ht="21.75">
      <c r="B41" s="25" t="s">
        <v>40</v>
      </c>
      <c r="C41" s="25" t="s">
        <v>11</v>
      </c>
      <c r="D41" s="25" t="s">
        <v>12</v>
      </c>
      <c r="E41" s="25" t="s">
        <v>13</v>
      </c>
      <c r="F41" s="25" t="s">
        <v>14</v>
      </c>
      <c r="G41" s="25" t="s">
        <v>15</v>
      </c>
      <c r="H41" s="25" t="s">
        <v>44</v>
      </c>
      <c r="I41" s="25" t="s">
        <v>16</v>
      </c>
      <c r="J41" s="25" t="s">
        <v>20</v>
      </c>
      <c r="K41" s="25" t="s">
        <v>37</v>
      </c>
      <c r="L41" s="25" t="s">
        <v>38</v>
      </c>
      <c r="M41" s="25" t="s">
        <v>32</v>
      </c>
      <c r="N41" s="25" t="s">
        <v>33</v>
      </c>
    </row>
    <row r="42" spans="1:30">
      <c r="A42" s="1" t="s">
        <v>54</v>
      </c>
      <c r="B42" s="193">
        <v>0.79634958787939691</v>
      </c>
      <c r="C42" s="193">
        <v>1.1315505753742627</v>
      </c>
      <c r="D42" s="1">
        <f t="shared" ref="D42:M42" si="7">100*(D25-D24)/D24</f>
        <v>-14.591069395326159</v>
      </c>
      <c r="E42" s="193">
        <v>1.7853135709336332</v>
      </c>
      <c r="F42" s="193">
        <v>0.12896237219093276</v>
      </c>
      <c r="G42" s="1">
        <f t="shared" si="7"/>
        <v>-16.604802575551663</v>
      </c>
      <c r="H42" s="193">
        <v>1.3808124623820861</v>
      </c>
      <c r="I42" s="193">
        <v>9.0214222454565451E-2</v>
      </c>
      <c r="J42" s="1">
        <f t="shared" si="7"/>
        <v>9.9081374925026839</v>
      </c>
      <c r="K42" s="1">
        <f>100*(K25-K24)/K24</f>
        <v>-41.346042845276372</v>
      </c>
      <c r="L42" s="1">
        <f t="shared" si="7"/>
        <v>4.7572134402101414</v>
      </c>
      <c r="M42" s="1">
        <f t="shared" si="7"/>
        <v>7.3537347886355473</v>
      </c>
      <c r="N42" s="193">
        <v>2.1243166671905733</v>
      </c>
    </row>
    <row r="44" spans="1:30">
      <c r="A44" s="32" t="s">
        <v>58</v>
      </c>
      <c r="B44" s="32">
        <f>4*LN(100/C29)/LN(1+B40)</f>
        <v>3115.2152496824815</v>
      </c>
      <c r="C44" s="32">
        <f>4*LN(100/D29)/LN(1+C40)</f>
        <v>-89.020375535713015</v>
      </c>
    </row>
    <row r="45" spans="1:30" ht="21.75">
      <c r="B45" s="25" t="s">
        <v>40</v>
      </c>
      <c r="C45" s="25" t="s">
        <v>11</v>
      </c>
      <c r="D45" s="25" t="s">
        <v>12</v>
      </c>
      <c r="E45" s="25" t="s">
        <v>13</v>
      </c>
      <c r="F45" s="25" t="s">
        <v>14</v>
      </c>
      <c r="G45" s="25" t="s">
        <v>15</v>
      </c>
      <c r="H45" s="25" t="s">
        <v>44</v>
      </c>
      <c r="I45" s="25" t="s">
        <v>16</v>
      </c>
      <c r="J45" s="25" t="s">
        <v>20</v>
      </c>
      <c r="K45" s="25" t="s">
        <v>37</v>
      </c>
      <c r="L45" s="25" t="s">
        <v>38</v>
      </c>
      <c r="M45" s="25" t="s">
        <v>32</v>
      </c>
      <c r="N45" s="25" t="s">
        <v>33</v>
      </c>
    </row>
    <row r="46" spans="1:30">
      <c r="A46" s="32" t="s">
        <v>58</v>
      </c>
      <c r="B46" s="34">
        <f>LN(100/B21)/LN(1+(B42/100))</f>
        <v>49.55179505577771</v>
      </c>
      <c r="C46" s="34">
        <f t="shared" ref="C46:N46" si="8">LN(100/C21)/LN(1+(C42/100))</f>
        <v>21.74043361327681</v>
      </c>
      <c r="D46" s="34">
        <f t="shared" si="8"/>
        <v>-3.4319457864824532</v>
      </c>
      <c r="E46" s="34">
        <f t="shared" si="8"/>
        <v>66.367420779659028</v>
      </c>
      <c r="F46" s="34">
        <f t="shared" si="8"/>
        <v>663.92833867305649</v>
      </c>
      <c r="G46" s="34">
        <f t="shared" si="8"/>
        <v>-7.2108007011616406</v>
      </c>
      <c r="H46" s="34">
        <f t="shared" si="8"/>
        <v>39.095572628720483</v>
      </c>
      <c r="I46" s="34">
        <f>LN(100/I21)/LN(1+(I42/100))</f>
        <v>843.92575728082761</v>
      </c>
      <c r="J46" s="34">
        <f t="shared" si="8"/>
        <v>7.7469192878531992</v>
      </c>
      <c r="K46" s="34">
        <f t="shared" si="8"/>
        <v>-3.5446085711737063</v>
      </c>
      <c r="L46" s="34">
        <f t="shared" si="8"/>
        <v>25.550027496595142</v>
      </c>
      <c r="M46" s="34">
        <f t="shared" si="8"/>
        <v>8.9561614284338358</v>
      </c>
      <c r="N46" s="34">
        <f t="shared" si="8"/>
        <v>34.91653522895033</v>
      </c>
    </row>
    <row r="47" spans="1:30" ht="30">
      <c r="B47" s="192" t="s">
        <v>30</v>
      </c>
      <c r="C47" s="192" t="s">
        <v>130</v>
      </c>
      <c r="D47" s="192" t="s">
        <v>44</v>
      </c>
      <c r="E47" s="192" t="s">
        <v>13</v>
      </c>
      <c r="F47" s="192" t="s">
        <v>20</v>
      </c>
      <c r="G47" s="192" t="s">
        <v>33</v>
      </c>
      <c r="H47" s="192" t="s">
        <v>16</v>
      </c>
      <c r="I47" s="192" t="s">
        <v>131</v>
      </c>
      <c r="J47" s="192" t="s">
        <v>31</v>
      </c>
      <c r="K47" s="192" t="s">
        <v>11</v>
      </c>
      <c r="L47" s="192" t="s">
        <v>12</v>
      </c>
      <c r="M47" s="192" t="s">
        <v>14</v>
      </c>
      <c r="N47" s="192" t="s">
        <v>40</v>
      </c>
    </row>
    <row r="48" spans="1:30">
      <c r="B48" s="194">
        <v>1.7273761258879805</v>
      </c>
      <c r="C48" s="194">
        <v>-1.0012190489982364</v>
      </c>
      <c r="F48" s="194">
        <v>2.6084625580040655E-2</v>
      </c>
      <c r="I48" s="194">
        <v>-1.3376387902956699</v>
      </c>
      <c r="J48" s="194">
        <v>5.4319881446374119E-2</v>
      </c>
      <c r="L48" s="194">
        <v>1.1742216453798138</v>
      </c>
    </row>
    <row r="67" spans="1:30">
      <c r="R67" s="32" t="str">
        <f>M1</f>
        <v xml:space="preserve">رقابت پذیری </v>
      </c>
      <c r="S67" s="32" t="str">
        <f>H1</f>
        <v>سهولت کسب و کار</v>
      </c>
      <c r="T67" s="32" t="str">
        <f>E1</f>
        <v>نوآوری</v>
      </c>
      <c r="U67" s="32" t="str">
        <f>F1</f>
        <v>حقوق مالکیت</v>
      </c>
      <c r="V67" s="32" t="str">
        <f>D1</f>
        <v>صلح</v>
      </c>
      <c r="W67" s="32" t="str">
        <f>G1</f>
        <v>حکمرانی</v>
      </c>
      <c r="X67" s="32" t="str">
        <f>L1</f>
        <v>دولت شکننده</v>
      </c>
      <c r="Y67" s="32" t="str">
        <f t="shared" ref="Y67:Z67" si="9">B1</f>
        <v>پیشرفت اجتماعی</v>
      </c>
      <c r="Z67" s="32" t="str">
        <f t="shared" si="9"/>
        <v>توسعه انسانی</v>
      </c>
      <c r="AA67" s="32" t="str">
        <f>I1</f>
        <v>شادی</v>
      </c>
      <c r="AB67" s="32" t="str">
        <f>J1</f>
        <v>کامیابی</v>
      </c>
      <c r="AC67" s="32" t="str">
        <f>K1</f>
        <v>شدت انرژی</v>
      </c>
      <c r="AD67" s="32" t="str">
        <f>N1</f>
        <v>محیط زیست</v>
      </c>
    </row>
    <row r="68" spans="1:30">
      <c r="Q68" s="32">
        <f>A3</f>
        <v>2015</v>
      </c>
      <c r="R68" s="32">
        <f>M24</f>
        <v>33.522612046238081</v>
      </c>
      <c r="S68" s="32">
        <f>H24</f>
        <v>48.439565972222233</v>
      </c>
      <c r="T68" s="32">
        <f>E24</f>
        <v>30.849220103986134</v>
      </c>
      <c r="U68" s="32">
        <f>F24</f>
        <v>24.350086655112648</v>
      </c>
      <c r="V68" s="32">
        <f>D24</f>
        <v>44.351297405189626</v>
      </c>
      <c r="W68" s="32">
        <f>G24</f>
        <v>30.041225135134461</v>
      </c>
      <c r="X68" s="32">
        <f>L24</f>
        <v>28.305785123966952</v>
      </c>
      <c r="Y68" s="32">
        <f>B24</f>
        <v>57.62388818297331</v>
      </c>
      <c r="Z68" s="32">
        <f t="shared" ref="Z68" si="10">C24</f>
        <v>69.913043478260889</v>
      </c>
      <c r="AA68" s="32">
        <f t="shared" ref="AA68:AC69" si="11">I24</f>
        <v>38.900589721988204</v>
      </c>
      <c r="AB68" s="32">
        <f t="shared" si="11"/>
        <v>32.529176824436085</v>
      </c>
      <c r="AC68" s="32">
        <f t="shared" si="11"/>
        <v>27.603513174404021</v>
      </c>
      <c r="AD68" s="32">
        <f>N24</f>
        <v>41.351351351351319</v>
      </c>
    </row>
    <row r="69" spans="1:30" ht="21.75">
      <c r="B69" s="25" t="s">
        <v>40</v>
      </c>
      <c r="C69" s="25" t="s">
        <v>11</v>
      </c>
      <c r="D69" s="25" t="s">
        <v>12</v>
      </c>
      <c r="E69" s="25" t="s">
        <v>13</v>
      </c>
      <c r="F69" s="25" t="s">
        <v>14</v>
      </c>
      <c r="G69" s="25" t="s">
        <v>15</v>
      </c>
      <c r="H69" s="25" t="s">
        <v>44</v>
      </c>
      <c r="I69" s="25" t="s">
        <v>16</v>
      </c>
      <c r="J69" s="25" t="s">
        <v>20</v>
      </c>
      <c r="K69" s="25" t="s">
        <v>37</v>
      </c>
      <c r="L69" s="25" t="s">
        <v>38</v>
      </c>
      <c r="M69" s="25" t="s">
        <v>32</v>
      </c>
      <c r="N69" s="25" t="s">
        <v>33</v>
      </c>
      <c r="Q69" s="32">
        <f>A4</f>
        <v>2020</v>
      </c>
      <c r="R69" s="32">
        <f>M25</f>
        <v>35.987776030341621</v>
      </c>
      <c r="S69" s="32">
        <f>H25</f>
        <v>57.634730538922156</v>
      </c>
      <c r="T69" s="32">
        <f>E25</f>
        <v>32.952380952380949</v>
      </c>
      <c r="U69" s="32">
        <f>F25</f>
        <v>26.544240400667775</v>
      </c>
      <c r="V69" s="32">
        <f>D25</f>
        <v>37.879968823070918</v>
      </c>
      <c r="W69" s="32">
        <f>G25</f>
        <v>25.05293901016838</v>
      </c>
      <c r="X69" s="32">
        <f>L25</f>
        <v>29.652351738241311</v>
      </c>
      <c r="Y69" s="32">
        <f>B25</f>
        <v>59.088697908221178</v>
      </c>
      <c r="Z69" s="32">
        <f t="shared" ref="Z69" si="12">C25</f>
        <v>69.094138543516863</v>
      </c>
      <c r="AA69" s="32">
        <f t="shared" si="11"/>
        <v>40.159868747376848</v>
      </c>
      <c r="AB69" s="32">
        <f t="shared" si="11"/>
        <v>35.752212389380531</v>
      </c>
      <c r="AC69" s="32">
        <f t="shared" si="11"/>
        <v>16.190552790513426</v>
      </c>
      <c r="AD69" s="32">
        <f>N25</f>
        <v>42.404006677796325</v>
      </c>
    </row>
    <row r="70" spans="1:30">
      <c r="A70" s="1" t="s">
        <v>54</v>
      </c>
      <c r="B70" s="32">
        <v>0.93002373572168562</v>
      </c>
      <c r="C70" s="32">
        <v>1.1200621517843956</v>
      </c>
      <c r="D70" s="32">
        <v>-1.1708202005034529</v>
      </c>
      <c r="E70" s="32">
        <v>4.0234213268597774</v>
      </c>
      <c r="F70" s="32">
        <v>0.96212894350538036</v>
      </c>
      <c r="G70" s="32">
        <v>-0.57923121058583993</v>
      </c>
      <c r="H70" s="32">
        <v>0.42480977774723705</v>
      </c>
      <c r="I70" s="32">
        <v>-0.25808056238708632</v>
      </c>
      <c r="J70" s="32">
        <v>0.30500637272110609</v>
      </c>
      <c r="K70" s="32">
        <v>-0.73935893824124133</v>
      </c>
      <c r="L70" s="32">
        <v>-0.11346917476122709</v>
      </c>
      <c r="M70" s="32">
        <v>-0.447882590086357</v>
      </c>
      <c r="N70" s="32">
        <v>0.79797475090164216</v>
      </c>
    </row>
    <row r="71" spans="1:30">
      <c r="A71" s="32" t="str">
        <f t="shared" ref="A71:N71" si="13">A16</f>
        <v>آرمانشهر</v>
      </c>
      <c r="B71" s="32">
        <f t="shared" si="13"/>
        <v>92.73</v>
      </c>
      <c r="C71" s="32">
        <f t="shared" si="13"/>
        <v>95.7</v>
      </c>
      <c r="D71" s="32">
        <f t="shared" si="13"/>
        <v>98.05</v>
      </c>
      <c r="E71" s="32">
        <f t="shared" si="13"/>
        <v>66.099999999999994</v>
      </c>
      <c r="F71" s="32">
        <f t="shared" si="13"/>
        <v>86.5</v>
      </c>
      <c r="G71" s="32">
        <f t="shared" si="13"/>
        <v>85.61099999999999</v>
      </c>
      <c r="H71" s="32">
        <f t="shared" si="13"/>
        <v>86.8</v>
      </c>
      <c r="I71" s="32">
        <f t="shared" si="13"/>
        <v>78.087000000000003</v>
      </c>
      <c r="J71" s="32">
        <f t="shared" si="13"/>
        <v>84.4</v>
      </c>
      <c r="K71" s="32">
        <f t="shared" si="13"/>
        <v>81.299999999999983</v>
      </c>
      <c r="L71" s="32">
        <f t="shared" si="13"/>
        <v>87.833333333333329</v>
      </c>
      <c r="M71" s="32">
        <f t="shared" si="13"/>
        <v>84.78</v>
      </c>
      <c r="N71" s="32">
        <f t="shared" si="13"/>
        <v>82.5</v>
      </c>
    </row>
    <row r="72" spans="1:30">
      <c r="A72" s="32">
        <v>2018</v>
      </c>
      <c r="B72" s="32">
        <v>63.78</v>
      </c>
      <c r="C72" s="32">
        <v>79.7</v>
      </c>
      <c r="D72" s="32">
        <v>64.025000000000006</v>
      </c>
      <c r="E72" s="32">
        <v>33.4</v>
      </c>
      <c r="F72" s="32">
        <v>47.480000000000004</v>
      </c>
      <c r="G72" s="32">
        <v>29.987496666666669</v>
      </c>
      <c r="H72" s="32">
        <v>55.696780000000004</v>
      </c>
      <c r="I72" s="32">
        <v>47.07</v>
      </c>
      <c r="J72" s="32">
        <v>49.0939676319</v>
      </c>
      <c r="K72" s="32">
        <v>61.029418506970941</v>
      </c>
      <c r="L72" s="32">
        <v>29.77407069381735</v>
      </c>
      <c r="M72" s="32">
        <v>52.965924687079784</v>
      </c>
      <c r="N72" s="32">
        <v>58.16</v>
      </c>
    </row>
    <row r="73" spans="1:30" ht="21.75">
      <c r="B73" s="25" t="s">
        <v>40</v>
      </c>
      <c r="C73" s="25" t="s">
        <v>11</v>
      </c>
      <c r="D73" s="25" t="s">
        <v>12</v>
      </c>
      <c r="E73" s="25" t="s">
        <v>13</v>
      </c>
      <c r="F73" s="25" t="s">
        <v>14</v>
      </c>
      <c r="G73" s="25" t="s">
        <v>15</v>
      </c>
      <c r="H73" s="25" t="s">
        <v>44</v>
      </c>
      <c r="I73" s="25" t="s">
        <v>16</v>
      </c>
      <c r="J73" s="25" t="s">
        <v>20</v>
      </c>
      <c r="K73" s="25" t="s">
        <v>37</v>
      </c>
      <c r="L73" s="25" t="s">
        <v>38</v>
      </c>
      <c r="M73" s="25" t="s">
        <v>32</v>
      </c>
      <c r="N73" s="25" t="s">
        <v>33</v>
      </c>
    </row>
    <row r="74" spans="1:30">
      <c r="A74" s="32" t="s">
        <v>118</v>
      </c>
      <c r="B74" s="169">
        <f>LN(B71/B72)/LN(1+B70/100)</f>
        <v>40.428002178360643</v>
      </c>
      <c r="C74" s="169">
        <f t="shared" ref="C74:N74" si="14">LN(C71/C72)/LN(1+C70/100)</f>
        <v>16.425104625966167</v>
      </c>
      <c r="D74" s="169">
        <f t="shared" si="14"/>
        <v>-36.188646396813553</v>
      </c>
      <c r="E74" s="169">
        <f t="shared" si="14"/>
        <v>17.305042358193898</v>
      </c>
      <c r="F74" s="169">
        <f t="shared" si="14"/>
        <v>62.644081163028162</v>
      </c>
      <c r="G74" s="169">
        <f t="shared" si="14"/>
        <v>-180.58283771353203</v>
      </c>
      <c r="H74" s="169">
        <f t="shared" si="14"/>
        <v>104.66473482447692</v>
      </c>
      <c r="I74" s="169">
        <f t="shared" si="14"/>
        <v>-195.8823486124638</v>
      </c>
      <c r="J74" s="169">
        <f t="shared" si="14"/>
        <v>177.91665099114755</v>
      </c>
      <c r="K74" s="169">
        <f t="shared" si="14"/>
        <v>-38.645435688200934</v>
      </c>
      <c r="L74" s="169">
        <f t="shared" si="14"/>
        <v>-952.84847632365916</v>
      </c>
      <c r="M74" s="169">
        <f t="shared" si="14"/>
        <v>-104.79457509456437</v>
      </c>
      <c r="N74" s="169">
        <f t="shared" si="14"/>
        <v>43.985536343880902</v>
      </c>
    </row>
  </sheetData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AT46"/>
  <sheetViews>
    <sheetView topLeftCell="AA1" workbookViewId="0">
      <selection activeCell="AR32" sqref="AR32"/>
    </sheetView>
  </sheetViews>
  <sheetFormatPr defaultRowHeight="15"/>
  <cols>
    <col min="2" max="2" width="16" bestFit="1" customWidth="1"/>
    <col min="3" max="26" width="9.140625" customWidth="1"/>
    <col min="34" max="34" width="9.140625" style="32"/>
    <col min="35" max="35" width="22.5703125" bestFit="1" customWidth="1"/>
  </cols>
  <sheetData>
    <row r="4" spans="1:46" ht="15.75">
      <c r="B4" s="38" t="s">
        <v>2</v>
      </c>
      <c r="C4" s="38">
        <v>1990</v>
      </c>
      <c r="D4" s="38">
        <v>1991</v>
      </c>
      <c r="E4" s="38">
        <v>1992</v>
      </c>
      <c r="F4" s="38">
        <v>1993</v>
      </c>
      <c r="G4" s="38">
        <v>1994</v>
      </c>
      <c r="H4" s="38">
        <v>1995</v>
      </c>
      <c r="I4" s="38">
        <v>1996</v>
      </c>
      <c r="J4" s="38">
        <v>1997</v>
      </c>
      <c r="K4" s="38">
        <v>1998</v>
      </c>
      <c r="L4" s="38">
        <v>1999</v>
      </c>
      <c r="M4" s="38">
        <v>2000</v>
      </c>
      <c r="N4" s="38">
        <v>2001</v>
      </c>
      <c r="O4" s="38">
        <v>2002</v>
      </c>
      <c r="P4" s="38">
        <v>2003</v>
      </c>
      <c r="Q4" s="38">
        <v>2004</v>
      </c>
      <c r="R4" s="38">
        <v>2005</v>
      </c>
      <c r="S4" s="38">
        <v>2006</v>
      </c>
      <c r="T4" s="38">
        <v>2007</v>
      </c>
      <c r="U4" s="38">
        <v>2008</v>
      </c>
      <c r="V4" s="38">
        <v>2009</v>
      </c>
      <c r="W4" s="38">
        <v>2010</v>
      </c>
      <c r="X4" s="38">
        <v>2011</v>
      </c>
      <c r="Y4" s="38">
        <v>2012</v>
      </c>
      <c r="Z4" s="38">
        <v>2013</v>
      </c>
      <c r="AA4" s="38">
        <v>2014</v>
      </c>
      <c r="AB4" s="38">
        <v>2015</v>
      </c>
      <c r="AC4" s="38">
        <v>2016</v>
      </c>
      <c r="AD4" s="38">
        <v>2017</v>
      </c>
      <c r="AE4" s="38">
        <v>2018</v>
      </c>
      <c r="AF4" s="38">
        <v>2019</v>
      </c>
      <c r="AG4" s="38">
        <v>2020</v>
      </c>
      <c r="AI4" s="171" t="s">
        <v>125</v>
      </c>
      <c r="AJ4" s="188">
        <v>2013</v>
      </c>
      <c r="AK4" s="171">
        <v>2014</v>
      </c>
      <c r="AL4" s="171">
        <v>2015</v>
      </c>
      <c r="AM4" s="171">
        <v>2016</v>
      </c>
      <c r="AN4" s="171">
        <v>2017</v>
      </c>
      <c r="AO4" s="171">
        <v>2018</v>
      </c>
      <c r="AP4" s="171">
        <v>2019</v>
      </c>
      <c r="AQ4" s="171">
        <v>2020</v>
      </c>
    </row>
    <row r="5" spans="1:46" ht="16.5" thickBot="1">
      <c r="A5" s="31">
        <v>1</v>
      </c>
      <c r="B5" s="38" t="s">
        <v>40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182">
        <v>62.840000152587891</v>
      </c>
      <c r="Y5" s="182">
        <v>63.369998931884766</v>
      </c>
      <c r="Z5" s="182">
        <v>63.5</v>
      </c>
      <c r="AA5" s="182">
        <v>64.489997863769531</v>
      </c>
      <c r="AB5" s="182">
        <v>65.160003662109375</v>
      </c>
      <c r="AC5" s="182">
        <v>65.75</v>
      </c>
      <c r="AD5" s="182">
        <v>66.989997863769531</v>
      </c>
      <c r="AE5" s="182">
        <v>66.849998474121094</v>
      </c>
      <c r="AF5" s="182">
        <v>67.800003051757813</v>
      </c>
      <c r="AG5" s="182">
        <v>67.489997863769531</v>
      </c>
      <c r="AH5" s="18">
        <v>7.8804851049002096</v>
      </c>
      <c r="AI5" s="38" t="s">
        <v>40</v>
      </c>
      <c r="AJ5" s="137">
        <f>Z5</f>
        <v>63.5</v>
      </c>
      <c r="AK5" s="137">
        <f t="shared" ref="AK5" si="0">AA5</f>
        <v>64.489997863769531</v>
      </c>
      <c r="AL5" s="137">
        <f t="shared" ref="AL5:AQ5" si="1">AB5</f>
        <v>65.160003662109375</v>
      </c>
      <c r="AM5" s="137">
        <f t="shared" si="1"/>
        <v>65.75</v>
      </c>
      <c r="AN5" s="137">
        <f t="shared" si="1"/>
        <v>66.989997863769531</v>
      </c>
      <c r="AO5" s="137">
        <f t="shared" si="1"/>
        <v>66.849998474121094</v>
      </c>
      <c r="AP5" s="137">
        <f t="shared" si="1"/>
        <v>67.800003051757813</v>
      </c>
      <c r="AQ5" s="137">
        <f t="shared" si="1"/>
        <v>67.489997863769531</v>
      </c>
      <c r="AS5" s="173">
        <v>65.16</v>
      </c>
      <c r="AT5" s="173">
        <v>67.5</v>
      </c>
    </row>
    <row r="6" spans="1:46" ht="16.5" thickBot="1">
      <c r="A6" s="31">
        <v>2</v>
      </c>
      <c r="B6" s="38" t="s">
        <v>11</v>
      </c>
      <c r="C6" s="175">
        <v>0.56499999999999995</v>
      </c>
      <c r="D6" s="175">
        <v>0.58299999999999996</v>
      </c>
      <c r="E6" s="175">
        <v>0.59599999999999997</v>
      </c>
      <c r="F6" s="175">
        <v>0.60699999999999998</v>
      </c>
      <c r="G6" s="175">
        <v>0.61599999999999999</v>
      </c>
      <c r="H6" s="175">
        <v>0.627</v>
      </c>
      <c r="I6" s="175">
        <v>0.63400000000000001</v>
      </c>
      <c r="J6" s="175">
        <v>0.64</v>
      </c>
      <c r="K6" s="175">
        <v>0.64700000000000002</v>
      </c>
      <c r="L6" s="175">
        <v>0.65200000000000002</v>
      </c>
      <c r="M6" s="175">
        <v>0.65800000000000003</v>
      </c>
      <c r="N6" s="175">
        <v>0.66500000000000004</v>
      </c>
      <c r="O6" s="175">
        <v>0.67</v>
      </c>
      <c r="P6" s="175">
        <v>0.67700000000000005</v>
      </c>
      <c r="Q6" s="175">
        <v>0.67800000000000005</v>
      </c>
      <c r="R6" s="175">
        <v>0.68300000000000005</v>
      </c>
      <c r="S6" s="175">
        <v>0.71899999999999997</v>
      </c>
      <c r="T6" s="175">
        <v>0.72299999999999998</v>
      </c>
      <c r="U6" s="175">
        <v>0.72799999999999998</v>
      </c>
      <c r="V6" s="175">
        <v>0.73399999999999999</v>
      </c>
      <c r="W6" s="175">
        <v>0.74199999999999999</v>
      </c>
      <c r="X6" s="175">
        <v>0.753</v>
      </c>
      <c r="Y6" s="175">
        <v>0.76800000000000002</v>
      </c>
      <c r="Z6" s="175">
        <v>0.77100000000000002</v>
      </c>
      <c r="AA6" s="175">
        <v>0.77400000000000002</v>
      </c>
      <c r="AB6" s="175">
        <v>0.77400000000000002</v>
      </c>
      <c r="AC6" s="175">
        <v>0.78400000000000003</v>
      </c>
      <c r="AD6" s="175">
        <v>0.78700000000000003</v>
      </c>
      <c r="AE6" s="175">
        <v>0.78500000000000003</v>
      </c>
      <c r="AF6" s="175">
        <v>0.78300000000000003</v>
      </c>
      <c r="AG6" s="175">
        <v>0.78300000000000003</v>
      </c>
      <c r="AH6" s="189">
        <v>-1.1403629166666667</v>
      </c>
      <c r="AI6" s="38" t="s">
        <v>11</v>
      </c>
      <c r="AJ6" s="134">
        <f t="shared" ref="AJ6:AK6" si="2">Z6*100</f>
        <v>77.100000000000009</v>
      </c>
      <c r="AK6" s="134">
        <f t="shared" si="2"/>
        <v>77.400000000000006</v>
      </c>
      <c r="AL6" s="134">
        <f t="shared" ref="AL6:AQ6" si="3">AB6*100</f>
        <v>77.400000000000006</v>
      </c>
      <c r="AM6" s="134">
        <f t="shared" si="3"/>
        <v>78.400000000000006</v>
      </c>
      <c r="AN6" s="134">
        <f t="shared" si="3"/>
        <v>78.7</v>
      </c>
      <c r="AO6" s="134">
        <f t="shared" si="3"/>
        <v>78.5</v>
      </c>
      <c r="AP6" s="134">
        <f t="shared" si="3"/>
        <v>78.3</v>
      </c>
      <c r="AQ6" s="134">
        <f t="shared" si="3"/>
        <v>78.3</v>
      </c>
      <c r="AS6" s="173">
        <v>0.77400000000000002</v>
      </c>
      <c r="AT6" s="173">
        <v>0.78300000000000003</v>
      </c>
    </row>
    <row r="7" spans="1:46" ht="16.5" thickBot="1">
      <c r="A7" s="31">
        <v>3</v>
      </c>
      <c r="B7" s="38" t="s">
        <v>12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40"/>
      <c r="V7" s="184">
        <v>2.35</v>
      </c>
      <c r="W7" s="184">
        <v>2.4340000000000002</v>
      </c>
      <c r="X7" s="184">
        <v>2.556</v>
      </c>
      <c r="Y7" s="185"/>
      <c r="Z7" s="184">
        <v>2.5840000000000001</v>
      </c>
      <c r="AA7" s="184">
        <v>2.536</v>
      </c>
      <c r="AB7" s="184">
        <v>2.5169999999999999</v>
      </c>
      <c r="AC7" s="184">
        <v>2.4060000000000001</v>
      </c>
      <c r="AD7" s="184">
        <v>2.351</v>
      </c>
      <c r="AE7" s="184">
        <v>2.4390000000000001</v>
      </c>
      <c r="AF7" s="184">
        <v>2.5350000000000001</v>
      </c>
      <c r="AG7" s="184">
        <v>2.6720000000000002</v>
      </c>
      <c r="AH7" s="189">
        <v>58.6</v>
      </c>
      <c r="AI7" s="38" t="s">
        <v>12</v>
      </c>
      <c r="AJ7" s="134">
        <f t="shared" ref="AJ7:AK7" si="4">(5-Z7)*25</f>
        <v>60.4</v>
      </c>
      <c r="AK7" s="134">
        <f t="shared" si="4"/>
        <v>61.6</v>
      </c>
      <c r="AL7" s="134">
        <f t="shared" ref="AL7:AQ7" si="5">(5-AB7)*25</f>
        <v>62.075000000000003</v>
      </c>
      <c r="AM7" s="134">
        <f t="shared" si="5"/>
        <v>64.849999999999994</v>
      </c>
      <c r="AN7" s="134">
        <f t="shared" si="5"/>
        <v>66.224999999999994</v>
      </c>
      <c r="AO7" s="134">
        <f t="shared" si="5"/>
        <v>64.025000000000006</v>
      </c>
      <c r="AP7" s="134">
        <f t="shared" si="5"/>
        <v>61.625</v>
      </c>
      <c r="AQ7" s="134">
        <f t="shared" si="5"/>
        <v>58.199999999999996</v>
      </c>
      <c r="AS7" s="173">
        <v>2.5169999999999999</v>
      </c>
      <c r="AT7" s="173">
        <v>2.6720000000000002</v>
      </c>
    </row>
    <row r="8" spans="1:46" ht="15.75">
      <c r="A8" s="31">
        <v>4</v>
      </c>
      <c r="B8" s="38" t="s">
        <v>13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177">
        <v>27.3</v>
      </c>
      <c r="AA8" s="177">
        <v>26.1</v>
      </c>
      <c r="AB8" s="177">
        <v>28.4</v>
      </c>
      <c r="AC8" s="177">
        <v>30.5</v>
      </c>
      <c r="AD8" s="177">
        <v>32.1</v>
      </c>
      <c r="AE8" s="177">
        <v>33.4</v>
      </c>
      <c r="AF8" s="177">
        <v>34.4</v>
      </c>
      <c r="AG8" s="177">
        <v>30.9</v>
      </c>
      <c r="AH8" s="189">
        <v>30.9</v>
      </c>
      <c r="AI8" s="38" t="s">
        <v>13</v>
      </c>
      <c r="AJ8" s="134">
        <f t="shared" ref="AJ8:AK8" si="6">Z8</f>
        <v>27.3</v>
      </c>
      <c r="AK8" s="134">
        <f t="shared" si="6"/>
        <v>26.1</v>
      </c>
      <c r="AL8" s="134">
        <f t="shared" ref="AL8:AQ8" si="7">AB8</f>
        <v>28.4</v>
      </c>
      <c r="AM8" s="134">
        <f t="shared" si="7"/>
        <v>30.5</v>
      </c>
      <c r="AN8" s="134">
        <f t="shared" si="7"/>
        <v>32.1</v>
      </c>
      <c r="AO8" s="134">
        <f t="shared" si="7"/>
        <v>33.4</v>
      </c>
      <c r="AP8" s="134">
        <f t="shared" si="7"/>
        <v>34.4</v>
      </c>
      <c r="AQ8" s="134">
        <f t="shared" si="7"/>
        <v>30.9</v>
      </c>
      <c r="AS8" s="173">
        <v>28.4</v>
      </c>
      <c r="AT8" s="173">
        <v>30.9</v>
      </c>
    </row>
    <row r="9" spans="1:46" ht="15.75">
      <c r="A9" s="31">
        <v>5</v>
      </c>
      <c r="B9" s="38" t="s">
        <v>14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176">
        <v>4.2</v>
      </c>
      <c r="Y9" s="176">
        <v>4.2</v>
      </c>
      <c r="Z9" s="176">
        <v>4.3</v>
      </c>
      <c r="AA9" s="176">
        <v>4.3</v>
      </c>
      <c r="AB9" s="176">
        <v>3.9649999999999999</v>
      </c>
      <c r="AC9" s="176">
        <v>4.24</v>
      </c>
      <c r="AD9" s="176">
        <v>4.5209999999999999</v>
      </c>
      <c r="AE9" s="176">
        <v>4.7480000000000002</v>
      </c>
      <c r="AF9" s="176">
        <v>4.5780000000000003</v>
      </c>
      <c r="AG9" s="176">
        <v>4.2489999999999997</v>
      </c>
      <c r="AH9" s="189">
        <v>48.1</v>
      </c>
      <c r="AI9" s="38" t="s">
        <v>14</v>
      </c>
      <c r="AJ9" s="134">
        <f t="shared" ref="AJ9:AK9" si="8">Z9*10</f>
        <v>43</v>
      </c>
      <c r="AK9" s="134">
        <f t="shared" si="8"/>
        <v>43</v>
      </c>
      <c r="AL9" s="134">
        <f t="shared" ref="AL9:AQ9" si="9">AB9*10</f>
        <v>39.65</v>
      </c>
      <c r="AM9" s="134">
        <f t="shared" si="9"/>
        <v>42.400000000000006</v>
      </c>
      <c r="AN9" s="134">
        <f t="shared" si="9"/>
        <v>45.21</v>
      </c>
      <c r="AO9" s="134">
        <f t="shared" si="9"/>
        <v>47.480000000000004</v>
      </c>
      <c r="AP9" s="134">
        <f t="shared" si="9"/>
        <v>45.78</v>
      </c>
      <c r="AQ9" s="134">
        <f t="shared" si="9"/>
        <v>42.489999999999995</v>
      </c>
      <c r="AS9" s="173">
        <v>3.9649999999999999</v>
      </c>
      <c r="AT9" s="173">
        <v>4.25</v>
      </c>
    </row>
    <row r="10" spans="1:46" ht="15.75">
      <c r="A10" s="31">
        <v>6</v>
      </c>
      <c r="B10" s="38" t="s">
        <v>15</v>
      </c>
      <c r="C10" s="38"/>
      <c r="D10" s="38"/>
      <c r="E10" s="38"/>
      <c r="F10" s="38"/>
      <c r="G10" s="38"/>
      <c r="H10" s="38"/>
      <c r="I10" s="178">
        <v>-0.78629318333333342</v>
      </c>
      <c r="J10" s="178"/>
      <c r="K10" s="178">
        <v>-0.79813813333333339</v>
      </c>
      <c r="L10" s="178"/>
      <c r="M10" s="178">
        <v>-0.78554558333333346</v>
      </c>
      <c r="N10" s="178"/>
      <c r="O10" s="178">
        <v>-0.77506008333333343</v>
      </c>
      <c r="P10" s="178">
        <v>-0.76480626666666662</v>
      </c>
      <c r="Q10" s="178">
        <v>-0.79139366666666666</v>
      </c>
      <c r="R10" s="178">
        <v>-0.86618990000000007</v>
      </c>
      <c r="S10" s="178">
        <v>-0.99397305000000002</v>
      </c>
      <c r="T10" s="178">
        <v>-1.0388792499999999</v>
      </c>
      <c r="U10" s="178">
        <v>-1.0774076500000001</v>
      </c>
      <c r="V10" s="178">
        <v>-1.205532</v>
      </c>
      <c r="W10" s="178">
        <v>-1.2323207333333335</v>
      </c>
      <c r="X10" s="178">
        <v>-1.1327890666666665</v>
      </c>
      <c r="Y10" s="178">
        <v>-1.0969561166666666</v>
      </c>
      <c r="Z10" s="178">
        <v>-1.1185497666666668</v>
      </c>
      <c r="AA10" s="178">
        <v>-1.0027006999999999</v>
      </c>
      <c r="AB10" s="178">
        <v>-0.91464154999999991</v>
      </c>
      <c r="AC10" s="178">
        <v>-0.82788139999999999</v>
      </c>
      <c r="AD10" s="178">
        <v>-0.85401881666666668</v>
      </c>
      <c r="AE10" s="178">
        <v>-1.0190355333333334</v>
      </c>
      <c r="AF10" s="178">
        <v>-1.1403629166666667</v>
      </c>
      <c r="AG10" s="187">
        <f>AF10-0.01</f>
        <v>-1.1503629166666667</v>
      </c>
      <c r="AH10" s="189">
        <v>48</v>
      </c>
      <c r="AI10" s="38" t="s">
        <v>15</v>
      </c>
      <c r="AJ10" s="134">
        <f t="shared" ref="AJ10:AK10" si="10">(Z10+2.5)*20</f>
        <v>27.629004666666663</v>
      </c>
      <c r="AK10" s="134">
        <f t="shared" si="10"/>
        <v>29.945986000000001</v>
      </c>
      <c r="AL10" s="134">
        <f t="shared" ref="AL10:AQ10" si="11">(AB10+2.5)*20</f>
        <v>31.707169000000004</v>
      </c>
      <c r="AM10" s="134">
        <f t="shared" si="11"/>
        <v>33.442372000000006</v>
      </c>
      <c r="AN10" s="134">
        <f t="shared" si="11"/>
        <v>32.919623666666666</v>
      </c>
      <c r="AO10" s="134">
        <f t="shared" si="11"/>
        <v>29.619289333333331</v>
      </c>
      <c r="AP10" s="134">
        <f t="shared" si="11"/>
        <v>27.192741666666667</v>
      </c>
      <c r="AQ10" s="134">
        <f t="shared" si="11"/>
        <v>26.992741666666667</v>
      </c>
      <c r="AS10" s="173">
        <v>-0.91464154999999991</v>
      </c>
      <c r="AT10" s="173">
        <v>-1.1399999999999999</v>
      </c>
    </row>
    <row r="11" spans="1:46" ht="15.75">
      <c r="A11" s="31">
        <v>7</v>
      </c>
      <c r="B11" s="38" t="s">
        <v>44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182">
        <v>55.879220000000004</v>
      </c>
      <c r="X11" s="182">
        <v>56.083820000000003</v>
      </c>
      <c r="Y11" s="182">
        <v>56.172610000000006</v>
      </c>
      <c r="Z11" s="182">
        <v>57.636020000000002</v>
      </c>
      <c r="AA11" s="182">
        <v>56.513220000000004</v>
      </c>
      <c r="AB11" s="182">
        <v>57.301190000000005</v>
      </c>
      <c r="AC11" s="182">
        <v>55.377430000000004</v>
      </c>
      <c r="AD11" s="182">
        <v>55.707860000000004</v>
      </c>
      <c r="AE11" s="182">
        <v>55.696780000000004</v>
      </c>
      <c r="AF11" s="182">
        <v>58.639150000000008</v>
      </c>
      <c r="AG11" s="182">
        <v>58.546580000000006</v>
      </c>
      <c r="AH11" s="189">
        <v>4.6723999977111816</v>
      </c>
      <c r="AI11" s="38" t="s">
        <v>44</v>
      </c>
      <c r="AJ11" s="172">
        <f t="shared" ref="AJ11:AK11" si="12">Z11</f>
        <v>57.636020000000002</v>
      </c>
      <c r="AK11" s="172">
        <f t="shared" si="12"/>
        <v>56.513220000000004</v>
      </c>
      <c r="AL11" s="172">
        <f t="shared" ref="AL11:AQ11" si="13">AB11</f>
        <v>57.301190000000005</v>
      </c>
      <c r="AM11" s="172">
        <f t="shared" si="13"/>
        <v>55.377430000000004</v>
      </c>
      <c r="AN11" s="172">
        <f t="shared" si="13"/>
        <v>55.707860000000004</v>
      </c>
      <c r="AO11" s="172">
        <f t="shared" si="13"/>
        <v>55.696780000000004</v>
      </c>
      <c r="AP11" s="172">
        <f t="shared" si="13"/>
        <v>58.639150000000008</v>
      </c>
      <c r="AQ11" s="172">
        <f t="shared" si="13"/>
        <v>58.546580000000006</v>
      </c>
      <c r="AS11" s="173">
        <v>57.301190000000005</v>
      </c>
      <c r="AT11" s="173">
        <v>58.5</v>
      </c>
    </row>
    <row r="12" spans="1:46" ht="15.75">
      <c r="A12" s="31">
        <v>8</v>
      </c>
      <c r="B12" s="38" t="s">
        <v>16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180">
        <v>4.6429999999999998</v>
      </c>
      <c r="AA12" s="180">
        <v>4.6429999999999998</v>
      </c>
      <c r="AB12" s="180">
        <v>4.6859999999999999</v>
      </c>
      <c r="AC12" s="180">
        <v>4.8129999999999997</v>
      </c>
      <c r="AD12" s="180">
        <v>4.6919999122619602</v>
      </c>
      <c r="AE12" s="180">
        <v>4.7069999999999999</v>
      </c>
      <c r="AF12" s="180">
        <v>4.548</v>
      </c>
      <c r="AG12" s="180">
        <v>4.6723999977111816</v>
      </c>
      <c r="AH12" s="189">
        <v>52.965924687079784</v>
      </c>
      <c r="AI12" s="38" t="s">
        <v>16</v>
      </c>
      <c r="AJ12" s="134">
        <f t="shared" ref="AJ12:AK12" si="14">Z12*10</f>
        <v>46.43</v>
      </c>
      <c r="AK12" s="134">
        <f t="shared" si="14"/>
        <v>46.43</v>
      </c>
      <c r="AL12" s="134">
        <f t="shared" ref="AL12:AQ12" si="15">AB12*10</f>
        <v>46.86</v>
      </c>
      <c r="AM12" s="134">
        <f t="shared" si="15"/>
        <v>48.129999999999995</v>
      </c>
      <c r="AN12" s="134">
        <f t="shared" si="15"/>
        <v>46.9199991226196</v>
      </c>
      <c r="AO12" s="134">
        <f t="shared" si="15"/>
        <v>47.07</v>
      </c>
      <c r="AP12" s="134">
        <f t="shared" si="15"/>
        <v>45.480000000000004</v>
      </c>
      <c r="AQ12" s="134">
        <f t="shared" si="15"/>
        <v>46.723999977111816</v>
      </c>
      <c r="AS12" s="173">
        <v>4.6859999999999999</v>
      </c>
      <c r="AT12" s="173">
        <v>4.6719999999999997</v>
      </c>
    </row>
    <row r="13" spans="1:46" ht="15.75">
      <c r="A13" s="31">
        <v>9</v>
      </c>
      <c r="B13" s="38" t="s">
        <v>20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181">
        <v>46.5201865449</v>
      </c>
      <c r="U13" s="181">
        <v>46.728956712200002</v>
      </c>
      <c r="V13" s="183">
        <v>46.722445038300002</v>
      </c>
      <c r="W13" s="183">
        <v>45.911202215899998</v>
      </c>
      <c r="X13" s="183">
        <v>45.645813788600002</v>
      </c>
      <c r="Y13" s="183">
        <v>47.120107835900001</v>
      </c>
      <c r="Z13" s="183">
        <v>47.012178792999997</v>
      </c>
      <c r="AA13" s="183">
        <v>46.958471232100003</v>
      </c>
      <c r="AB13" s="183">
        <v>46.805522070599999</v>
      </c>
      <c r="AC13" s="183">
        <v>47.181525719500002</v>
      </c>
      <c r="AD13" s="183">
        <v>48.046894248800001</v>
      </c>
      <c r="AE13" s="183">
        <v>49.0939676319</v>
      </c>
      <c r="AF13" s="183">
        <v>48.314141859800003</v>
      </c>
      <c r="AG13" s="183">
        <v>48.122613470200001</v>
      </c>
      <c r="AH13" s="190">
        <v>83.386608652067594</v>
      </c>
      <c r="AI13" s="38" t="s">
        <v>20</v>
      </c>
      <c r="AJ13" s="138">
        <f t="shared" ref="AJ13:AK13" si="16">Z13</f>
        <v>47.012178792999997</v>
      </c>
      <c r="AK13" s="138">
        <f t="shared" si="16"/>
        <v>46.958471232100003</v>
      </c>
      <c r="AL13" s="138">
        <f t="shared" ref="AL13:AQ13" si="17">AB13</f>
        <v>46.805522070599999</v>
      </c>
      <c r="AM13" s="138">
        <f t="shared" si="17"/>
        <v>47.181525719500002</v>
      </c>
      <c r="AN13" s="138">
        <f t="shared" si="17"/>
        <v>48.046894248800001</v>
      </c>
      <c r="AO13" s="138">
        <f t="shared" si="17"/>
        <v>49.0939676319</v>
      </c>
      <c r="AP13" s="138">
        <f t="shared" si="17"/>
        <v>48.314141859800003</v>
      </c>
      <c r="AQ13" s="138">
        <f t="shared" si="17"/>
        <v>48.122613470200001</v>
      </c>
      <c r="AS13" s="173">
        <v>46.805522070599999</v>
      </c>
      <c r="AT13" s="173">
        <v>48.1</v>
      </c>
    </row>
    <row r="14" spans="1:46" ht="15.75">
      <c r="A14" s="31">
        <v>10</v>
      </c>
      <c r="B14" s="38" t="s">
        <v>30</v>
      </c>
      <c r="C14" s="186">
        <v>5.0794982117462597</v>
      </c>
      <c r="D14" s="186">
        <v>4.9957070217734998</v>
      </c>
      <c r="E14" s="186">
        <v>5.0908653697951101</v>
      </c>
      <c r="F14" s="186">
        <v>5.56304638740085</v>
      </c>
      <c r="G14" s="186">
        <v>6.2827256134293696</v>
      </c>
      <c r="H14" s="186">
        <v>6.4213626570939102</v>
      </c>
      <c r="I14" s="186">
        <v>5.8240580831767703</v>
      </c>
      <c r="J14" s="186">
        <v>6.4310929967570898</v>
      </c>
      <c r="K14" s="186">
        <v>6.4159572987073101</v>
      </c>
      <c r="L14" s="186">
        <v>7.1353135622330202</v>
      </c>
      <c r="M14" s="186">
        <v>6.5704109184370498</v>
      </c>
      <c r="N14" s="186">
        <v>6.9620374431893604</v>
      </c>
      <c r="O14" s="186">
        <v>6.6627085936205797</v>
      </c>
      <c r="P14" s="186">
        <v>6.3378233300360796</v>
      </c>
      <c r="Q14" s="186">
        <v>6.6244188802770099</v>
      </c>
      <c r="R14" s="186">
        <v>7.05480557026016</v>
      </c>
      <c r="S14" s="186">
        <v>6.9753764462579202</v>
      </c>
      <c r="T14" s="186">
        <v>6.7637393317000196</v>
      </c>
      <c r="U14" s="186">
        <v>7.1820034580292198</v>
      </c>
      <c r="V14" s="186">
        <v>7.0060627247902403</v>
      </c>
      <c r="W14" s="186">
        <v>6.5754724393400803</v>
      </c>
      <c r="X14" s="186">
        <v>6.4629031224006699</v>
      </c>
      <c r="Y14" s="186">
        <v>7.2004469455989302</v>
      </c>
      <c r="Z14" s="186">
        <v>7.4835471739595203</v>
      </c>
      <c r="AA14" s="186">
        <v>7.6976692943134202</v>
      </c>
      <c r="AB14" s="186">
        <v>7.7941162986058101</v>
      </c>
      <c r="AC14" s="38">
        <f>$AB$14*((($AB$21/100)+1)^1)</f>
        <v>7.9287500027718707</v>
      </c>
      <c r="AD14" s="38">
        <f>$AB$14*((($AB$21/100)+1)^2)</f>
        <v>8.0657093374010937</v>
      </c>
      <c r="AE14" s="38">
        <f>$AB$14*((($AB$21/100)+1)^3)</f>
        <v>8.2050344748788788</v>
      </c>
      <c r="AF14" s="38">
        <f>$AB$14*((($AB$21/100)+1)^4)</f>
        <v>8.3467662815188159</v>
      </c>
      <c r="AG14" s="38">
        <f>$AB$14*((($AB$21/100)+1)^5)</f>
        <v>8.4909463295494394</v>
      </c>
      <c r="AH14" s="191">
        <v>0.78300000000000003</v>
      </c>
      <c r="AI14" s="38" t="s">
        <v>37</v>
      </c>
      <c r="AJ14" s="134">
        <f t="shared" ref="AJ14:AK14" si="18">(10-Z14)*100/10</f>
        <v>25.164528260404797</v>
      </c>
      <c r="AK14" s="134">
        <f t="shared" si="18"/>
        <v>23.023307056865796</v>
      </c>
      <c r="AL14" s="134">
        <f t="shared" ref="AL14:AQ14" si="19">(10-AB14)*100/10</f>
        <v>22.058837013941901</v>
      </c>
      <c r="AM14" s="134">
        <f t="shared" si="19"/>
        <v>20.712499972281293</v>
      </c>
      <c r="AN14" s="134">
        <f t="shared" si="19"/>
        <v>19.342906625989063</v>
      </c>
      <c r="AO14" s="134">
        <f t="shared" si="19"/>
        <v>17.949655251211212</v>
      </c>
      <c r="AP14" s="134">
        <f t="shared" si="19"/>
        <v>16.532337184811841</v>
      </c>
      <c r="AQ14" s="134">
        <f t="shared" si="19"/>
        <v>15.090536704505606</v>
      </c>
      <c r="AS14" s="173">
        <v>7.79</v>
      </c>
      <c r="AT14" s="173">
        <v>7.9189999999999996</v>
      </c>
    </row>
    <row r="15" spans="1:46" ht="15.75">
      <c r="A15" s="31">
        <v>11</v>
      </c>
      <c r="B15" s="38" t="s">
        <v>31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182">
        <v>82.8</v>
      </c>
      <c r="U15" s="182">
        <v>85.7</v>
      </c>
      <c r="V15" s="182">
        <v>90</v>
      </c>
      <c r="W15" s="182">
        <v>92.2</v>
      </c>
      <c r="X15" s="182">
        <v>90.2</v>
      </c>
      <c r="Y15" s="182">
        <v>89.6</v>
      </c>
      <c r="Z15" s="182">
        <v>89.7</v>
      </c>
      <c r="AA15" s="182">
        <v>87.2</v>
      </c>
      <c r="AB15" s="182">
        <v>87.1</v>
      </c>
      <c r="AC15" s="182">
        <v>86.9</v>
      </c>
      <c r="AD15" s="182">
        <v>85.8</v>
      </c>
      <c r="AE15" s="182">
        <v>84.271115167419168</v>
      </c>
      <c r="AF15" s="182">
        <v>83</v>
      </c>
      <c r="AG15" s="182">
        <v>83.386608652067594</v>
      </c>
      <c r="AH15" s="191">
        <v>2.6720000000000002</v>
      </c>
      <c r="AI15" s="38" t="s">
        <v>31</v>
      </c>
      <c r="AJ15" s="134">
        <f t="shared" ref="AJ15:AK15" si="20">100-(100*Z15/120)</f>
        <v>25.25</v>
      </c>
      <c r="AK15" s="134">
        <f t="shared" si="20"/>
        <v>27.333333333333329</v>
      </c>
      <c r="AL15" s="134">
        <f t="shared" ref="AL15:AQ15" si="21">100-(100*AB15/120)</f>
        <v>27.416666666666671</v>
      </c>
      <c r="AM15" s="134">
        <f t="shared" si="21"/>
        <v>27.583333333333329</v>
      </c>
      <c r="AN15" s="134">
        <f t="shared" si="21"/>
        <v>28.5</v>
      </c>
      <c r="AO15" s="134">
        <f t="shared" si="21"/>
        <v>29.77407069381735</v>
      </c>
      <c r="AP15" s="134">
        <f t="shared" si="21"/>
        <v>30.833333333333329</v>
      </c>
      <c r="AQ15" s="134">
        <f t="shared" si="21"/>
        <v>30.511159456610343</v>
      </c>
      <c r="AS15" s="173">
        <v>87.1</v>
      </c>
      <c r="AT15" s="173">
        <v>83.4</v>
      </c>
    </row>
    <row r="16" spans="1:46" ht="15.75">
      <c r="A16" s="31">
        <v>12</v>
      </c>
      <c r="B16" s="38" t="s">
        <v>32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179">
        <v>52.751320591339947</v>
      </c>
      <c r="X16" s="179">
        <v>54.24782742879686</v>
      </c>
      <c r="Y16" s="179">
        <v>53.727759212238048</v>
      </c>
      <c r="Z16" s="179">
        <v>51.87789174989048</v>
      </c>
      <c r="AA16" s="179">
        <v>51.335689086620867</v>
      </c>
      <c r="AB16" s="179">
        <v>52.056990509348822</v>
      </c>
      <c r="AC16" s="179">
        <v>52.509647184138437</v>
      </c>
      <c r="AD16" s="179">
        <v>54.411857110184698</v>
      </c>
      <c r="AE16" s="179">
        <v>54.852980377041099</v>
      </c>
      <c r="AF16" s="179">
        <v>52.965924687079784</v>
      </c>
      <c r="AG16" s="179">
        <v>52.965924687079784</v>
      </c>
      <c r="AH16" s="191">
        <v>4.25</v>
      </c>
      <c r="AI16" s="38" t="s">
        <v>32</v>
      </c>
      <c r="AJ16" s="134">
        <f t="shared" ref="AJ16:AK17" si="22">Z16</f>
        <v>51.87789174989048</v>
      </c>
      <c r="AK16" s="134">
        <f t="shared" si="22"/>
        <v>51.335689086620867</v>
      </c>
      <c r="AL16" s="134">
        <f t="shared" ref="AL16:AQ17" si="23">AB16</f>
        <v>52.056990509348822</v>
      </c>
      <c r="AM16" s="134">
        <f t="shared" si="23"/>
        <v>52.509647184138437</v>
      </c>
      <c r="AN16" s="134">
        <f t="shared" si="23"/>
        <v>54.411857110184698</v>
      </c>
      <c r="AO16" s="134">
        <f t="shared" si="23"/>
        <v>54.852980377041099</v>
      </c>
      <c r="AP16" s="134">
        <f t="shared" si="23"/>
        <v>52.965924687079784</v>
      </c>
      <c r="AQ16" s="134">
        <f t="shared" si="23"/>
        <v>52.965924687079784</v>
      </c>
      <c r="AS16" s="173">
        <v>52.06</v>
      </c>
      <c r="AT16" s="173">
        <v>52.965924687079784</v>
      </c>
    </row>
    <row r="17" spans="1:46" ht="15.75">
      <c r="A17" s="31">
        <v>13</v>
      </c>
      <c r="B17" s="38" t="s">
        <v>33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>
        <v>38.9</v>
      </c>
      <c r="X17" s="36">
        <f>W17+0.91</f>
        <v>39.809999999999995</v>
      </c>
      <c r="Y17" s="36">
        <f t="shared" ref="Y17:AF17" si="24">X17+0.91</f>
        <v>40.719999999999992</v>
      </c>
      <c r="Z17" s="36">
        <f t="shared" si="24"/>
        <v>41.629999999999988</v>
      </c>
      <c r="AA17" s="36">
        <f t="shared" si="24"/>
        <v>42.539999999999985</v>
      </c>
      <c r="AB17" s="36">
        <f t="shared" si="24"/>
        <v>43.449999999999982</v>
      </c>
      <c r="AC17" s="36">
        <f t="shared" si="24"/>
        <v>44.359999999999978</v>
      </c>
      <c r="AD17" s="36">
        <f t="shared" si="24"/>
        <v>45.269999999999975</v>
      </c>
      <c r="AE17" s="36">
        <f t="shared" si="24"/>
        <v>46.179999999999971</v>
      </c>
      <c r="AF17" s="36">
        <f t="shared" si="24"/>
        <v>47.089999999999968</v>
      </c>
      <c r="AG17" s="36">
        <f>AF17+0.91</f>
        <v>47.999999999999964</v>
      </c>
      <c r="AH17" s="191">
        <v>67.489997863769531</v>
      </c>
      <c r="AI17" s="38" t="s">
        <v>33</v>
      </c>
      <c r="AJ17" s="172">
        <f t="shared" si="22"/>
        <v>41.629999999999988</v>
      </c>
      <c r="AK17" s="172">
        <f t="shared" si="22"/>
        <v>42.539999999999985</v>
      </c>
      <c r="AL17" s="172">
        <f t="shared" si="23"/>
        <v>43.449999999999982</v>
      </c>
      <c r="AM17" s="172">
        <f t="shared" si="23"/>
        <v>44.359999999999978</v>
      </c>
      <c r="AN17" s="172">
        <f t="shared" si="23"/>
        <v>45.269999999999975</v>
      </c>
      <c r="AO17" s="172">
        <f t="shared" si="23"/>
        <v>46.179999999999971</v>
      </c>
      <c r="AP17" s="172">
        <f t="shared" si="23"/>
        <v>47.089999999999968</v>
      </c>
      <c r="AQ17" s="172">
        <f t="shared" si="23"/>
        <v>47.999999999999964</v>
      </c>
      <c r="AS17" s="173">
        <v>38.9</v>
      </c>
      <c r="AT17" s="173">
        <v>48</v>
      </c>
    </row>
    <row r="18" spans="1:46">
      <c r="AQ18" s="32"/>
    </row>
    <row r="19" spans="1:46" ht="15.75">
      <c r="AJ19" s="171">
        <v>2013</v>
      </c>
      <c r="AK19" s="171">
        <v>2014</v>
      </c>
      <c r="AL19" s="171">
        <v>2015</v>
      </c>
      <c r="AM19" s="171">
        <v>2016</v>
      </c>
      <c r="AN19" s="171">
        <v>2017</v>
      </c>
      <c r="AO19" s="171">
        <v>2018</v>
      </c>
      <c r="AP19" s="171">
        <v>2019</v>
      </c>
      <c r="AQ19" s="171">
        <v>2020</v>
      </c>
    </row>
    <row r="20" spans="1:46" ht="15.75">
      <c r="AI20" s="38" t="s">
        <v>126</v>
      </c>
      <c r="AJ20" s="172">
        <f t="shared" ref="AJ20:AQ20" si="25">AVERAGE(AJ5:AJ17)</f>
        <v>45.686894113074004</v>
      </c>
      <c r="AK20" s="172">
        <f t="shared" si="25"/>
        <v>45.897692659437659</v>
      </c>
      <c r="AL20" s="172">
        <f t="shared" si="25"/>
        <v>46.180106070974368</v>
      </c>
      <c r="AM20" s="172">
        <f t="shared" si="25"/>
        <v>47.015139093019464</v>
      </c>
      <c r="AN20" s="172">
        <f t="shared" si="25"/>
        <v>47.718779895233034</v>
      </c>
      <c r="AO20" s="172">
        <f t="shared" si="25"/>
        <v>47.730133981648009</v>
      </c>
      <c r="AP20" s="172">
        <f t="shared" si="25"/>
        <v>47.30404859872688</v>
      </c>
      <c r="AQ20" s="172">
        <f t="shared" si="25"/>
        <v>46.487196448149525</v>
      </c>
    </row>
    <row r="21" spans="1:46">
      <c r="AA21" t="s">
        <v>127</v>
      </c>
      <c r="AB21">
        <v>1.7273761258879805</v>
      </c>
    </row>
    <row r="33" spans="1:32" ht="15.75">
      <c r="A33" s="38" t="s">
        <v>2</v>
      </c>
      <c r="B33" s="38">
        <v>1990</v>
      </c>
      <c r="C33" s="38">
        <v>1991</v>
      </c>
      <c r="D33" s="38">
        <v>1992</v>
      </c>
      <c r="E33" s="38">
        <v>1993</v>
      </c>
      <c r="F33" s="38">
        <v>1994</v>
      </c>
      <c r="G33" s="38">
        <v>1995</v>
      </c>
      <c r="H33" s="38">
        <v>1996</v>
      </c>
      <c r="I33" s="38">
        <v>1997</v>
      </c>
      <c r="J33" s="38">
        <v>1998</v>
      </c>
      <c r="K33" s="38">
        <v>1999</v>
      </c>
      <c r="L33" s="38">
        <v>2000</v>
      </c>
      <c r="M33" s="38">
        <v>2001</v>
      </c>
      <c r="N33" s="38">
        <v>2002</v>
      </c>
      <c r="O33" s="38">
        <v>2003</v>
      </c>
      <c r="P33" s="38">
        <v>2004</v>
      </c>
      <c r="Q33" s="38">
        <v>2005</v>
      </c>
      <c r="R33" s="38">
        <v>2006</v>
      </c>
      <c r="S33" s="38">
        <v>2007</v>
      </c>
      <c r="T33" s="38">
        <v>2008</v>
      </c>
      <c r="U33" s="38">
        <v>2009</v>
      </c>
      <c r="V33" s="38">
        <v>2010</v>
      </c>
      <c r="W33" s="38">
        <v>2011</v>
      </c>
      <c r="X33" s="38">
        <v>2012</v>
      </c>
      <c r="Y33" s="38">
        <v>2013</v>
      </c>
      <c r="Z33" s="38">
        <v>2014</v>
      </c>
      <c r="AA33" s="38">
        <v>2015</v>
      </c>
      <c r="AB33" s="38">
        <v>2016</v>
      </c>
      <c r="AC33" s="38">
        <v>2017</v>
      </c>
      <c r="AD33" s="38">
        <v>2018</v>
      </c>
      <c r="AE33" s="38">
        <v>2019</v>
      </c>
      <c r="AF33" s="38">
        <v>2020</v>
      </c>
    </row>
    <row r="34" spans="1:32" ht="16.5" thickBot="1">
      <c r="A34" s="38" t="s">
        <v>40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182">
        <v>62.840000152587891</v>
      </c>
      <c r="X34" s="182">
        <v>63.369998931884766</v>
      </c>
      <c r="Y34" s="182">
        <v>63.5</v>
      </c>
      <c r="Z34" s="182">
        <v>64.489997863769531</v>
      </c>
      <c r="AA34" s="182">
        <v>65.160003662109375</v>
      </c>
      <c r="AB34" s="182">
        <v>65.75</v>
      </c>
      <c r="AC34" s="182">
        <v>66.989997863769531</v>
      </c>
      <c r="AD34" s="182">
        <v>66.849998474121094</v>
      </c>
      <c r="AE34" s="182">
        <v>67.800003051757813</v>
      </c>
      <c r="AF34" s="182">
        <v>67.489997863769531</v>
      </c>
    </row>
    <row r="35" spans="1:32" ht="16.5" thickBot="1">
      <c r="A35" s="38" t="s">
        <v>11</v>
      </c>
      <c r="B35" s="175">
        <v>0.56499999999999995</v>
      </c>
      <c r="C35" s="175">
        <v>0.58299999999999996</v>
      </c>
      <c r="D35" s="175">
        <v>0.59599999999999997</v>
      </c>
      <c r="E35" s="175">
        <v>0.60699999999999998</v>
      </c>
      <c r="F35" s="175">
        <v>0.61599999999999999</v>
      </c>
      <c r="G35" s="175">
        <v>0.627</v>
      </c>
      <c r="H35" s="175">
        <v>0.63400000000000001</v>
      </c>
      <c r="I35" s="175">
        <v>0.64</v>
      </c>
      <c r="J35" s="175">
        <v>0.64700000000000002</v>
      </c>
      <c r="K35" s="175">
        <v>0.65200000000000002</v>
      </c>
      <c r="L35" s="175">
        <v>0.65800000000000003</v>
      </c>
      <c r="M35" s="175">
        <v>0.66500000000000004</v>
      </c>
      <c r="N35" s="175">
        <v>0.67</v>
      </c>
      <c r="O35" s="175">
        <v>0.67700000000000005</v>
      </c>
      <c r="P35" s="175">
        <v>0.67800000000000005</v>
      </c>
      <c r="Q35" s="175">
        <v>0.68300000000000005</v>
      </c>
      <c r="R35" s="175">
        <v>0.71899999999999997</v>
      </c>
      <c r="S35" s="175">
        <v>0.72299999999999998</v>
      </c>
      <c r="T35" s="175">
        <v>0.72799999999999998</v>
      </c>
      <c r="U35" s="175">
        <v>0.73399999999999999</v>
      </c>
      <c r="V35" s="175">
        <v>0.74199999999999999</v>
      </c>
      <c r="W35" s="175">
        <v>0.753</v>
      </c>
      <c r="X35" s="175">
        <v>0.76800000000000002</v>
      </c>
      <c r="Y35" s="175">
        <v>0.77100000000000002</v>
      </c>
      <c r="Z35" s="175">
        <v>0.77400000000000002</v>
      </c>
      <c r="AA35" s="175">
        <v>0.77400000000000002</v>
      </c>
      <c r="AB35" s="175">
        <v>0.78400000000000003</v>
      </c>
      <c r="AC35" s="175">
        <v>0.78700000000000003</v>
      </c>
      <c r="AD35" s="175">
        <v>0.78500000000000003</v>
      </c>
      <c r="AE35" s="175">
        <v>0.78300000000000003</v>
      </c>
      <c r="AF35" s="175">
        <v>0.78300000000000003</v>
      </c>
    </row>
    <row r="36" spans="1:32" ht="16.5" thickBot="1">
      <c r="A36" s="38" t="s">
        <v>12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40"/>
      <c r="U36" s="184">
        <v>2.35</v>
      </c>
      <c r="V36" s="184">
        <v>2.4340000000000002</v>
      </c>
      <c r="W36" s="184">
        <v>2.556</v>
      </c>
      <c r="X36" s="185"/>
      <c r="Y36" s="184">
        <v>2.5840000000000001</v>
      </c>
      <c r="Z36" s="184">
        <v>2.536</v>
      </c>
      <c r="AA36" s="184">
        <v>2.5169999999999999</v>
      </c>
      <c r="AB36" s="184">
        <v>2.4060000000000001</v>
      </c>
      <c r="AC36" s="184">
        <v>2.351</v>
      </c>
      <c r="AD36" s="184">
        <v>2.4390000000000001</v>
      </c>
      <c r="AE36" s="184">
        <v>2.5350000000000001</v>
      </c>
      <c r="AF36" s="184">
        <v>2.6720000000000002</v>
      </c>
    </row>
    <row r="37" spans="1:32" ht="15.75">
      <c r="A37" s="38" t="s">
        <v>13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177">
        <v>27.3</v>
      </c>
      <c r="Z37" s="177">
        <v>26.1</v>
      </c>
      <c r="AA37" s="177">
        <v>28.4</v>
      </c>
      <c r="AB37" s="177">
        <v>30.5</v>
      </c>
      <c r="AC37" s="177">
        <v>32.1</v>
      </c>
      <c r="AD37" s="177">
        <v>33.4</v>
      </c>
      <c r="AE37" s="177">
        <v>34.4</v>
      </c>
      <c r="AF37" s="177">
        <v>30.9</v>
      </c>
    </row>
    <row r="38" spans="1:32" ht="15.75">
      <c r="A38" s="38" t="s">
        <v>14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176">
        <v>4.2</v>
      </c>
      <c r="X38" s="176">
        <v>4.2</v>
      </c>
      <c r="Y38" s="176">
        <v>4.3</v>
      </c>
      <c r="Z38" s="176">
        <v>4.3</v>
      </c>
      <c r="AA38" s="176">
        <v>3.9649999999999999</v>
      </c>
      <c r="AB38" s="176">
        <v>4.24</v>
      </c>
      <c r="AC38" s="176">
        <v>4.5209999999999999</v>
      </c>
      <c r="AD38" s="176">
        <v>4.7480000000000002</v>
      </c>
      <c r="AE38" s="176">
        <v>4.5780000000000003</v>
      </c>
      <c r="AF38" s="176">
        <v>4.2489999999999997</v>
      </c>
    </row>
    <row r="39" spans="1:32" ht="15.75">
      <c r="A39" s="38" t="s">
        <v>15</v>
      </c>
      <c r="B39" s="38"/>
      <c r="C39" s="38"/>
      <c r="D39" s="38"/>
      <c r="E39" s="38"/>
      <c r="F39" s="38"/>
      <c r="G39" s="38"/>
      <c r="H39" s="178">
        <v>-0.78629318333333342</v>
      </c>
      <c r="I39" s="178"/>
      <c r="J39" s="178">
        <v>-0.79813813333333339</v>
      </c>
      <c r="K39" s="178"/>
      <c r="L39" s="178">
        <v>-0.78554558333333346</v>
      </c>
      <c r="M39" s="178"/>
      <c r="N39" s="178">
        <v>-0.77506008333333343</v>
      </c>
      <c r="O39" s="178">
        <v>-0.76480626666666662</v>
      </c>
      <c r="P39" s="178">
        <v>-0.79139366666666666</v>
      </c>
      <c r="Q39" s="178">
        <v>-0.86618990000000007</v>
      </c>
      <c r="R39" s="178">
        <v>-0.99397305000000002</v>
      </c>
      <c r="S39" s="178">
        <v>-1.0388792499999999</v>
      </c>
      <c r="T39" s="178">
        <v>-1.0774076500000001</v>
      </c>
      <c r="U39" s="178">
        <v>-1.205532</v>
      </c>
      <c r="V39" s="178">
        <v>-1.2323207333333335</v>
      </c>
      <c r="W39" s="178">
        <v>-1.1327890666666665</v>
      </c>
      <c r="X39" s="178">
        <v>-1.0969561166666666</v>
      </c>
      <c r="Y39" s="178">
        <v>-1.1185497666666668</v>
      </c>
      <c r="Z39" s="178">
        <v>-1.0027006999999999</v>
      </c>
      <c r="AA39" s="178">
        <v>-0.91464154999999991</v>
      </c>
      <c r="AB39" s="178">
        <v>-0.82788139999999999</v>
      </c>
      <c r="AC39" s="178">
        <v>-0.85401881666666668</v>
      </c>
      <c r="AD39" s="178">
        <v>-1.0190355333333334</v>
      </c>
      <c r="AE39" s="178">
        <v>-1.1403629166666667</v>
      </c>
      <c r="AF39" s="187">
        <f>AE39-0.01</f>
        <v>-1.1503629166666667</v>
      </c>
    </row>
    <row r="40" spans="1:32" ht="15.75">
      <c r="A40" s="38" t="s">
        <v>44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182">
        <v>55.879220000000004</v>
      </c>
      <c r="W40" s="182">
        <v>56.083820000000003</v>
      </c>
      <c r="X40" s="182">
        <v>56.172610000000006</v>
      </c>
      <c r="Y40" s="182">
        <v>57.636020000000002</v>
      </c>
      <c r="Z40" s="182">
        <v>56.513220000000004</v>
      </c>
      <c r="AA40" s="182">
        <v>57.301190000000005</v>
      </c>
      <c r="AB40" s="182">
        <v>55.377430000000004</v>
      </c>
      <c r="AC40" s="182">
        <v>55.707860000000004</v>
      </c>
      <c r="AD40" s="182">
        <v>55.696780000000004</v>
      </c>
      <c r="AE40" s="182">
        <v>58.639150000000008</v>
      </c>
      <c r="AF40" s="182">
        <v>58.546580000000006</v>
      </c>
    </row>
    <row r="41" spans="1:32" ht="15.75">
      <c r="A41" s="38" t="s">
        <v>16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180">
        <v>4.6429999999999998</v>
      </c>
      <c r="Z41" s="180">
        <v>4.6429999999999998</v>
      </c>
      <c r="AA41" s="180">
        <v>4.6859999999999999</v>
      </c>
      <c r="AB41" s="180">
        <v>4.8129999999999997</v>
      </c>
      <c r="AC41" s="180">
        <v>4.6919999122619602</v>
      </c>
      <c r="AD41" s="180">
        <v>4.7069999999999999</v>
      </c>
      <c r="AE41" s="180">
        <v>4.548</v>
      </c>
      <c r="AF41" s="180">
        <v>4.6723999977111816</v>
      </c>
    </row>
    <row r="42" spans="1:32" ht="15.75">
      <c r="A42" s="38" t="s">
        <v>20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181">
        <v>46.5201865449</v>
      </c>
      <c r="T42" s="181">
        <v>46.728956712200002</v>
      </c>
      <c r="U42" s="183">
        <v>46.722445038300002</v>
      </c>
      <c r="V42" s="183">
        <v>45.911202215899998</v>
      </c>
      <c r="W42" s="183">
        <v>45.645813788600002</v>
      </c>
      <c r="X42" s="183">
        <v>47.120107835900001</v>
      </c>
      <c r="Y42" s="183">
        <v>47.012178792999997</v>
      </c>
      <c r="Z42" s="183">
        <v>46.958471232100003</v>
      </c>
      <c r="AA42" s="183">
        <v>46.805522070599999</v>
      </c>
      <c r="AB42" s="183">
        <v>47.181525719500002</v>
      </c>
      <c r="AC42" s="183">
        <v>48.046894248800001</v>
      </c>
      <c r="AD42" s="183">
        <v>49.0939676319</v>
      </c>
      <c r="AE42" s="183">
        <v>48.314141859800003</v>
      </c>
      <c r="AF42" s="183">
        <v>48.122613470200001</v>
      </c>
    </row>
    <row r="43" spans="1:32" ht="15.75">
      <c r="A43" s="38" t="s">
        <v>30</v>
      </c>
      <c r="B43" s="186">
        <v>5.0794982117462597</v>
      </c>
      <c r="C43" s="186">
        <v>4.9957070217734998</v>
      </c>
      <c r="D43" s="186">
        <v>5.0908653697951101</v>
      </c>
      <c r="E43" s="186">
        <v>5.56304638740085</v>
      </c>
      <c r="F43" s="186">
        <v>6.2827256134293696</v>
      </c>
      <c r="G43" s="186">
        <v>6.4213626570939102</v>
      </c>
      <c r="H43" s="186">
        <v>5.8240580831767703</v>
      </c>
      <c r="I43" s="186">
        <v>6.4310929967570898</v>
      </c>
      <c r="J43" s="186">
        <v>6.4159572987073101</v>
      </c>
      <c r="K43" s="186">
        <v>7.1353135622330202</v>
      </c>
      <c r="L43" s="186">
        <v>6.5704109184370498</v>
      </c>
      <c r="M43" s="186">
        <v>6.9620374431893604</v>
      </c>
      <c r="N43" s="186">
        <v>6.6627085936205797</v>
      </c>
      <c r="O43" s="186">
        <v>6.3378233300360796</v>
      </c>
      <c r="P43" s="186">
        <v>6.6244188802770099</v>
      </c>
      <c r="Q43" s="186">
        <v>7.05480557026016</v>
      </c>
      <c r="R43" s="186">
        <v>6.9753764462579202</v>
      </c>
      <c r="S43" s="186">
        <v>6.7637393317000196</v>
      </c>
      <c r="T43" s="186">
        <v>7.1820034580292198</v>
      </c>
      <c r="U43" s="186">
        <v>7.0060627247902403</v>
      </c>
      <c r="V43" s="186">
        <v>6.5754724393400803</v>
      </c>
      <c r="W43" s="186">
        <v>6.4629031224006699</v>
      </c>
      <c r="X43" s="186">
        <v>7.2004469455989302</v>
      </c>
      <c r="Y43" s="186">
        <v>7.4835471739595203</v>
      </c>
      <c r="Z43" s="186">
        <v>7.6976692943134202</v>
      </c>
      <c r="AA43" s="186">
        <v>7.7941162986058101</v>
      </c>
      <c r="AB43" s="38">
        <f>AA43+0.01727</f>
        <v>7.81138629860581</v>
      </c>
      <c r="AC43" s="38">
        <f t="shared" ref="AC43:AF43" si="26">AB43+0.01727</f>
        <v>7.8286562986058099</v>
      </c>
      <c r="AD43" s="38">
        <f t="shared" si="26"/>
        <v>7.8459262986058098</v>
      </c>
      <c r="AE43" s="38">
        <f t="shared" si="26"/>
        <v>7.8631962986058097</v>
      </c>
      <c r="AF43" s="38">
        <f t="shared" si="26"/>
        <v>7.8804662986058096</v>
      </c>
    </row>
    <row r="44" spans="1:32" ht="15.75">
      <c r="A44" s="38" t="s">
        <v>31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182">
        <v>82.8</v>
      </c>
      <c r="T44" s="182">
        <v>85.7</v>
      </c>
      <c r="U44" s="182">
        <v>90</v>
      </c>
      <c r="V44" s="182">
        <v>92.2</v>
      </c>
      <c r="W44" s="182">
        <v>90.2</v>
      </c>
      <c r="X44" s="182">
        <v>89.6</v>
      </c>
      <c r="Y44" s="182">
        <v>89.7</v>
      </c>
      <c r="Z44" s="182">
        <v>87.2</v>
      </c>
      <c r="AA44" s="182">
        <v>87.1</v>
      </c>
      <c r="AB44" s="182">
        <v>86.9</v>
      </c>
      <c r="AC44" s="182">
        <v>85.8</v>
      </c>
      <c r="AD44" s="182">
        <v>84.271115167419168</v>
      </c>
      <c r="AE44" s="182">
        <v>83</v>
      </c>
      <c r="AF44" s="182">
        <v>83.386608652067594</v>
      </c>
    </row>
    <row r="45" spans="1:32" ht="15.75">
      <c r="A45" s="38" t="s">
        <v>32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179">
        <v>52.751320591339947</v>
      </c>
      <c r="W45" s="179">
        <v>54.24782742879686</v>
      </c>
      <c r="X45" s="179">
        <v>53.727759212238048</v>
      </c>
      <c r="Y45" s="179">
        <v>51.87789174989048</v>
      </c>
      <c r="Z45" s="179">
        <v>51.335689086620867</v>
      </c>
      <c r="AA45" s="179">
        <v>52.056990509348822</v>
      </c>
      <c r="AB45" s="179">
        <v>52.509647184138437</v>
      </c>
      <c r="AC45" s="179">
        <v>54.411857110184698</v>
      </c>
      <c r="AD45" s="179">
        <v>54.852980377041099</v>
      </c>
      <c r="AE45" s="179">
        <v>52.965924687079784</v>
      </c>
      <c r="AF45" s="179">
        <v>52.965924687079784</v>
      </c>
    </row>
    <row r="46" spans="1:32" ht="15.75">
      <c r="A46" s="38" t="s">
        <v>33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>
        <v>38.9</v>
      </c>
      <c r="W46" s="36">
        <f>V46+0.91</f>
        <v>39.809999999999995</v>
      </c>
      <c r="X46" s="36">
        <f t="shared" ref="X46:AE46" si="27">W46+0.91</f>
        <v>40.719999999999992</v>
      </c>
      <c r="Y46" s="36">
        <f t="shared" si="27"/>
        <v>41.629999999999988</v>
      </c>
      <c r="Z46" s="36">
        <f t="shared" si="27"/>
        <v>42.539999999999985</v>
      </c>
      <c r="AA46" s="36">
        <f t="shared" si="27"/>
        <v>43.449999999999982</v>
      </c>
      <c r="AB46" s="36">
        <f t="shared" si="27"/>
        <v>44.359999999999978</v>
      </c>
      <c r="AC46" s="36">
        <f t="shared" si="27"/>
        <v>45.269999999999975</v>
      </c>
      <c r="AD46" s="36">
        <f t="shared" si="27"/>
        <v>46.179999999999971</v>
      </c>
      <c r="AE46" s="36">
        <f t="shared" si="27"/>
        <v>47.089999999999968</v>
      </c>
      <c r="AF46" s="36">
        <f>AE46+0.91</f>
        <v>47.999999999999964</v>
      </c>
    </row>
  </sheetData>
  <conditionalFormatting sqref="AE38">
    <cfRule type="duplicateValues" dxfId="1" priority="2"/>
  </conditionalFormatting>
  <conditionalFormatting sqref="AF9">
    <cfRule type="duplicateValues" dxfId="0" priority="1"/>
  </conditionalFormatting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33"/>
  <sheetViews>
    <sheetView topLeftCell="A7" workbookViewId="0">
      <selection activeCell="R32" sqref="R32"/>
    </sheetView>
  </sheetViews>
  <sheetFormatPr defaultRowHeight="15"/>
  <cols>
    <col min="1" max="1" width="12" customWidth="1"/>
    <col min="15" max="15" width="11.85546875" customWidth="1"/>
  </cols>
  <sheetData>
    <row r="1" spans="1:30" ht="21.75">
      <c r="A1" s="13">
        <v>2020</v>
      </c>
      <c r="B1" s="16" t="s">
        <v>40</v>
      </c>
      <c r="C1" s="16" t="s">
        <v>11</v>
      </c>
      <c r="D1" s="24" t="s">
        <v>12</v>
      </c>
      <c r="E1" s="16" t="s">
        <v>13</v>
      </c>
      <c r="F1" s="16" t="s">
        <v>14</v>
      </c>
      <c r="G1" s="16" t="s">
        <v>15</v>
      </c>
      <c r="H1" s="16" t="s">
        <v>44</v>
      </c>
      <c r="I1" s="16" t="s">
        <v>16</v>
      </c>
      <c r="J1" s="16" t="s">
        <v>20</v>
      </c>
      <c r="K1" s="24" t="s">
        <v>30</v>
      </c>
      <c r="L1" s="24" t="s">
        <v>31</v>
      </c>
      <c r="M1" s="16" t="s">
        <v>32</v>
      </c>
      <c r="N1" s="16" t="s">
        <v>33</v>
      </c>
      <c r="Q1" s="9"/>
      <c r="R1" s="25" t="s">
        <v>40</v>
      </c>
      <c r="S1" s="25" t="s">
        <v>11</v>
      </c>
      <c r="T1" s="25" t="s">
        <v>12</v>
      </c>
      <c r="U1" s="25" t="s">
        <v>13</v>
      </c>
      <c r="V1" s="25" t="s">
        <v>14</v>
      </c>
      <c r="W1" s="25" t="s">
        <v>15</v>
      </c>
      <c r="X1" s="25" t="s">
        <v>44</v>
      </c>
      <c r="Y1" s="25" t="s">
        <v>16</v>
      </c>
      <c r="Z1" s="25" t="s">
        <v>20</v>
      </c>
      <c r="AA1" s="25" t="s">
        <v>37</v>
      </c>
      <c r="AB1" s="25" t="s">
        <v>38</v>
      </c>
      <c r="AC1" s="25" t="s">
        <v>32</v>
      </c>
      <c r="AD1" s="25" t="s">
        <v>33</v>
      </c>
    </row>
    <row r="2" spans="1:30" s="7" customFormat="1" ht="21.75">
      <c r="A2" s="17" t="s">
        <v>34</v>
      </c>
      <c r="B2" s="29">
        <v>7.8703703703703692E-2</v>
      </c>
      <c r="C2" s="29">
        <v>5.3240740740740734E-2</v>
      </c>
      <c r="D2" s="29">
        <v>7.1759259259259259E-2</v>
      </c>
      <c r="E2" s="29">
        <v>6.25E-2</v>
      </c>
      <c r="F2" s="29">
        <v>9.0277777777777776E-2</v>
      </c>
      <c r="G2" s="29">
        <v>0.10185185185185186</v>
      </c>
      <c r="H2" s="29">
        <v>9.0277777777777776E-2</v>
      </c>
      <c r="I2" s="29">
        <v>4.6296296296296294E-2</v>
      </c>
      <c r="J2" s="29">
        <v>9.4907407407407399E-2</v>
      </c>
      <c r="K2" s="29">
        <v>7.407407407407407E-2</v>
      </c>
      <c r="L2" s="29">
        <v>7.1759259259259259E-2</v>
      </c>
      <c r="M2" s="29">
        <v>8.3333333333333329E-2</v>
      </c>
      <c r="N2" s="29">
        <v>8.1018518518518517E-2</v>
      </c>
      <c r="Q2" s="14" t="s">
        <v>2</v>
      </c>
      <c r="R2" s="14">
        <f t="shared" ref="R2:AD2" si="0">B19</f>
        <v>59.088697908221178</v>
      </c>
      <c r="S2" s="14">
        <f t="shared" si="0"/>
        <v>69.094138543516863</v>
      </c>
      <c r="T2" s="14">
        <f t="shared" si="0"/>
        <v>37.879968823070918</v>
      </c>
      <c r="U2" s="14">
        <f t="shared" si="0"/>
        <v>32.952380952380949</v>
      </c>
      <c r="V2" s="14">
        <f t="shared" si="0"/>
        <v>26.544240400667775</v>
      </c>
      <c r="W2" s="14">
        <f t="shared" si="0"/>
        <v>25.05293901016838</v>
      </c>
      <c r="X2" s="14">
        <f t="shared" si="0"/>
        <v>57.634730538922156</v>
      </c>
      <c r="Y2" s="14">
        <f t="shared" si="0"/>
        <v>40.159868747376848</v>
      </c>
      <c r="Z2" s="14">
        <f t="shared" si="0"/>
        <v>35.752212389380531</v>
      </c>
      <c r="AA2" s="14">
        <f t="shared" si="0"/>
        <v>16.190552790513426</v>
      </c>
      <c r="AB2" s="14">
        <f t="shared" si="0"/>
        <v>29.652351738241311</v>
      </c>
      <c r="AC2" s="14">
        <f t="shared" si="0"/>
        <v>35.987776030341621</v>
      </c>
      <c r="AD2" s="14">
        <f t="shared" si="0"/>
        <v>42.404006677796325</v>
      </c>
    </row>
    <row r="3" spans="1:30" ht="21.75">
      <c r="A3" s="15" t="s">
        <v>2</v>
      </c>
      <c r="B3" s="173">
        <v>67.5</v>
      </c>
      <c r="C3" s="173">
        <v>0.78300000000000003</v>
      </c>
      <c r="D3" s="173">
        <v>2.6720000000000002</v>
      </c>
      <c r="E3" s="173">
        <v>30.9</v>
      </c>
      <c r="F3" s="173">
        <v>4.25</v>
      </c>
      <c r="G3" s="173">
        <v>-1.1499999999999999</v>
      </c>
      <c r="H3" s="173">
        <v>58.5</v>
      </c>
      <c r="I3" s="173">
        <v>4.6719999999999997</v>
      </c>
      <c r="J3" s="173">
        <v>48.1</v>
      </c>
      <c r="K3" s="173">
        <v>8.4909463295494394</v>
      </c>
      <c r="L3" s="173">
        <v>83.4</v>
      </c>
      <c r="M3" s="173">
        <v>52.965924687079784</v>
      </c>
      <c r="N3" s="173">
        <v>48</v>
      </c>
      <c r="Q3" s="14" t="s">
        <v>1</v>
      </c>
      <c r="R3" s="14">
        <f>B20</f>
        <v>60.337273622614568</v>
      </c>
      <c r="S3" s="14">
        <f t="shared" ref="S3:AD3" si="1">C20</f>
        <v>73.357015985790397</v>
      </c>
      <c r="T3" s="14">
        <f t="shared" si="1"/>
        <v>26.695245518316444</v>
      </c>
      <c r="U3" s="14">
        <f t="shared" si="1"/>
        <v>40.571428571428569</v>
      </c>
      <c r="V3" s="14">
        <f t="shared" si="1"/>
        <v>43.439065108514185</v>
      </c>
      <c r="W3" s="14">
        <f t="shared" si="1"/>
        <v>42.995954982234316</v>
      </c>
      <c r="X3" s="14">
        <f t="shared" si="1"/>
        <v>85.029940119760482</v>
      </c>
      <c r="Y3" s="14">
        <f t="shared" si="1"/>
        <v>48.931668028408836</v>
      </c>
      <c r="Z3" s="14">
        <f t="shared" si="1"/>
        <v>48.704018333274327</v>
      </c>
      <c r="AA3" s="14">
        <f t="shared" si="1"/>
        <v>88.277547390240343</v>
      </c>
      <c r="AB3" s="14">
        <f t="shared" si="1"/>
        <v>34.00061962792519</v>
      </c>
      <c r="AC3" s="14">
        <f t="shared" si="1"/>
        <v>54.439063354717412</v>
      </c>
      <c r="AD3" s="14">
        <f t="shared" si="1"/>
        <v>33.388981636060102</v>
      </c>
    </row>
    <row r="4" spans="1:30" ht="21.75">
      <c r="A4" s="15" t="s">
        <v>1</v>
      </c>
      <c r="B4" s="12">
        <v>68.269996643066406</v>
      </c>
      <c r="C4" s="12">
        <v>0.80700000000000005</v>
      </c>
      <c r="D4" s="12">
        <v>2.9590000000000001</v>
      </c>
      <c r="E4" s="196">
        <v>34.9</v>
      </c>
      <c r="F4" s="12">
        <v>5.2619999999999996</v>
      </c>
      <c r="G4" s="196">
        <v>-0.44839936666666674</v>
      </c>
      <c r="H4" s="196">
        <v>76.8</v>
      </c>
      <c r="I4" s="196">
        <v>5.1318001747131348</v>
      </c>
      <c r="J4" s="196">
        <v>55.417770358299997</v>
      </c>
      <c r="K4" s="32">
        <v>2.7960737561710154</v>
      </c>
      <c r="L4" s="195">
        <v>79.147394003889175</v>
      </c>
      <c r="M4" s="196">
        <v>62.136214487294552</v>
      </c>
      <c r="N4" s="196">
        <v>42.6</v>
      </c>
    </row>
    <row r="5" spans="1:30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30">
      <c r="A6" s="14" t="s">
        <v>19</v>
      </c>
      <c r="B6" s="20">
        <v>100</v>
      </c>
      <c r="C6" s="20">
        <v>1</v>
      </c>
      <c r="D6" s="20">
        <v>1</v>
      </c>
      <c r="E6" s="20">
        <v>100</v>
      </c>
      <c r="F6" s="20">
        <v>10</v>
      </c>
      <c r="G6" s="20">
        <v>2.5</v>
      </c>
      <c r="H6" s="20">
        <v>100</v>
      </c>
      <c r="I6" s="20">
        <v>10</v>
      </c>
      <c r="J6" s="20">
        <v>100</v>
      </c>
      <c r="K6" s="20">
        <v>1</v>
      </c>
      <c r="L6" s="20">
        <v>120</v>
      </c>
      <c r="M6" s="20">
        <v>100</v>
      </c>
      <c r="N6" s="20">
        <v>100</v>
      </c>
    </row>
    <row r="7" spans="1:30">
      <c r="A7" s="14" t="s">
        <v>18</v>
      </c>
      <c r="B7" s="21">
        <v>0</v>
      </c>
      <c r="C7" s="20">
        <v>0</v>
      </c>
      <c r="D7" s="20">
        <v>5</v>
      </c>
      <c r="E7" s="20">
        <v>0</v>
      </c>
      <c r="F7" s="20">
        <v>0</v>
      </c>
      <c r="G7" s="20">
        <v>-2.5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</row>
    <row r="8" spans="1:30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30">
      <c r="A9" s="14" t="s">
        <v>21</v>
      </c>
      <c r="B9" s="20">
        <v>92.73</v>
      </c>
      <c r="C9" s="20">
        <v>0.95699999999999996</v>
      </c>
      <c r="D9" s="20">
        <v>1.0780000000000001</v>
      </c>
      <c r="E9" s="20">
        <v>66.099999999999994</v>
      </c>
      <c r="F9" s="20">
        <v>8.65</v>
      </c>
      <c r="G9" s="20">
        <v>1.7805500000000001</v>
      </c>
      <c r="H9" s="20">
        <v>86.8</v>
      </c>
      <c r="I9" s="20">
        <v>7.8087</v>
      </c>
      <c r="J9" s="20">
        <v>84.4</v>
      </c>
      <c r="K9" s="20">
        <v>1.87</v>
      </c>
      <c r="L9" s="20">
        <v>14.6</v>
      </c>
      <c r="M9" s="20">
        <v>84.78</v>
      </c>
      <c r="N9" s="20">
        <v>82.5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>
      <c r="A10" s="14" t="s">
        <v>22</v>
      </c>
      <c r="B10" s="20">
        <v>31.06</v>
      </c>
      <c r="C10" s="20">
        <v>0.39400000000000002</v>
      </c>
      <c r="D10" s="20">
        <v>3.6440000000000001</v>
      </c>
      <c r="E10" s="20">
        <v>13.6</v>
      </c>
      <c r="F10" s="20">
        <v>2.66</v>
      </c>
      <c r="G10" s="20">
        <v>-2.12961</v>
      </c>
      <c r="H10" s="20">
        <v>20</v>
      </c>
      <c r="I10" s="20">
        <v>2.5669</v>
      </c>
      <c r="J10" s="20">
        <v>27.9</v>
      </c>
      <c r="K10" s="20">
        <v>9.77</v>
      </c>
      <c r="L10" s="20">
        <v>112.4</v>
      </c>
      <c r="M10" s="20">
        <v>35.08</v>
      </c>
      <c r="N10" s="20">
        <v>22.6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0" s="7" customFormat="1">
      <c r="A11" s="14" t="s">
        <v>23</v>
      </c>
      <c r="B11" s="22">
        <f>B9</f>
        <v>92.73</v>
      </c>
      <c r="C11" s="22">
        <f>C9*100</f>
        <v>95.7</v>
      </c>
      <c r="D11" s="22">
        <f>(4-(D9-1))*25</f>
        <v>98.05</v>
      </c>
      <c r="E11" s="22">
        <f>E9</f>
        <v>66.099999999999994</v>
      </c>
      <c r="F11" s="22">
        <f>F9*10</f>
        <v>86.5</v>
      </c>
      <c r="G11" s="22">
        <f>(G9+2.5)*20</f>
        <v>85.61099999999999</v>
      </c>
      <c r="H11" s="22">
        <f>H9</f>
        <v>86.8</v>
      </c>
      <c r="I11" s="22">
        <f>I9*10</f>
        <v>78.087000000000003</v>
      </c>
      <c r="J11" s="22">
        <f>J9</f>
        <v>84.4</v>
      </c>
      <c r="K11" s="22">
        <f>(10-K9)*100/10</f>
        <v>81.299999999999983</v>
      </c>
      <c r="L11" s="22">
        <f>100-(100*L9/120)</f>
        <v>87.833333333333329</v>
      </c>
      <c r="M11" s="22">
        <f>M9</f>
        <v>84.78</v>
      </c>
      <c r="N11" s="22">
        <f>N9</f>
        <v>82.5</v>
      </c>
      <c r="O11" s="7" t="s">
        <v>35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</row>
    <row r="12" spans="1:30" s="7" customFormat="1">
      <c r="A12" s="14" t="s">
        <v>24</v>
      </c>
      <c r="B12" s="22">
        <f>B10</f>
        <v>31.06</v>
      </c>
      <c r="C12" s="22">
        <f>C10*100</f>
        <v>39.4</v>
      </c>
      <c r="D12" s="22">
        <f>(4-(D10-1))*25</f>
        <v>33.9</v>
      </c>
      <c r="E12" s="22">
        <f>E10</f>
        <v>13.6</v>
      </c>
      <c r="F12" s="22">
        <f>F10*10</f>
        <v>26.6</v>
      </c>
      <c r="G12" s="22">
        <f>(G10+2.5)*20</f>
        <v>7.4077999999999999</v>
      </c>
      <c r="H12" s="22">
        <f>H10</f>
        <v>20</v>
      </c>
      <c r="I12" s="22">
        <f>I10*10</f>
        <v>25.669</v>
      </c>
      <c r="J12" s="22">
        <f>J10</f>
        <v>27.9</v>
      </c>
      <c r="K12" s="22">
        <f>(10-K10)*100/10</f>
        <v>2.3000000000000043</v>
      </c>
      <c r="L12" s="22">
        <f>100-(100*L10/120)</f>
        <v>6.3333333333333286</v>
      </c>
      <c r="M12" s="22">
        <f>M10</f>
        <v>35.08</v>
      </c>
      <c r="N12" s="22">
        <f>N10</f>
        <v>22.6</v>
      </c>
      <c r="O12" s="7" t="s">
        <v>35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</row>
    <row r="13" spans="1:30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30">
      <c r="A14" s="8" t="s">
        <v>35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30">
      <c r="A15" s="6" t="s">
        <v>2</v>
      </c>
      <c r="B15" s="22">
        <f>B3</f>
        <v>67.5</v>
      </c>
      <c r="C15" s="22">
        <f>C3*100</f>
        <v>78.3</v>
      </c>
      <c r="D15" s="22">
        <f>(5-D3)*25</f>
        <v>58.199999999999996</v>
      </c>
      <c r="E15" s="22">
        <f>E3</f>
        <v>30.9</v>
      </c>
      <c r="F15" s="22">
        <f>F3*10</f>
        <v>42.5</v>
      </c>
      <c r="G15" s="22">
        <f>(G3+2.5)*20</f>
        <v>27</v>
      </c>
      <c r="H15" s="22">
        <f>H3</f>
        <v>58.5</v>
      </c>
      <c r="I15" s="22">
        <f>I3*10</f>
        <v>46.72</v>
      </c>
      <c r="J15" s="22">
        <f>J3</f>
        <v>48.1</v>
      </c>
      <c r="K15" s="22">
        <f>(10-K3)*100/10</f>
        <v>15.090536704505606</v>
      </c>
      <c r="L15" s="22">
        <f>100-(100*L3/120)</f>
        <v>30.5</v>
      </c>
      <c r="M15" s="22">
        <f>M3</f>
        <v>52.965924687079784</v>
      </c>
      <c r="N15" s="22">
        <f>N3</f>
        <v>48</v>
      </c>
    </row>
    <row r="16" spans="1:30">
      <c r="A16" s="6" t="s">
        <v>1</v>
      </c>
      <c r="B16" s="22">
        <f>B4</f>
        <v>68.269996643066406</v>
      </c>
      <c r="C16" s="22">
        <f>C4*100</f>
        <v>80.7</v>
      </c>
      <c r="D16" s="22">
        <f>(5-D4)*25</f>
        <v>51.024999999999999</v>
      </c>
      <c r="E16" s="22">
        <f>E4</f>
        <v>34.9</v>
      </c>
      <c r="F16" s="22">
        <f>F4*10</f>
        <v>52.62</v>
      </c>
      <c r="G16" s="22">
        <f>(G4+2.5)*20</f>
        <v>41.032012666666667</v>
      </c>
      <c r="H16" s="22">
        <f>H4</f>
        <v>76.8</v>
      </c>
      <c r="I16" s="22">
        <f>I4*10</f>
        <v>51.318001747131348</v>
      </c>
      <c r="J16" s="22">
        <f>J4</f>
        <v>55.417770358299997</v>
      </c>
      <c r="K16" s="22">
        <f>(10-K4)*100/10</f>
        <v>72.039262438289853</v>
      </c>
      <c r="L16" s="22">
        <f>100-(100*L4/120)</f>
        <v>34.043838330092356</v>
      </c>
      <c r="M16" s="22">
        <f>M4</f>
        <v>62.136214487294552</v>
      </c>
      <c r="N16" s="22">
        <f>N4</f>
        <v>42.6</v>
      </c>
    </row>
    <row r="18" spans="1:30" ht="21.75">
      <c r="A18" s="9" t="s">
        <v>36</v>
      </c>
      <c r="B18" s="25" t="s">
        <v>40</v>
      </c>
      <c r="C18" s="25" t="s">
        <v>11</v>
      </c>
      <c r="D18" s="25" t="s">
        <v>12</v>
      </c>
      <c r="E18" s="25" t="s">
        <v>13</v>
      </c>
      <c r="F18" s="25" t="s">
        <v>14</v>
      </c>
      <c r="G18" s="25" t="s">
        <v>15</v>
      </c>
      <c r="H18" s="25" t="s">
        <v>44</v>
      </c>
      <c r="I18" s="25" t="s">
        <v>16</v>
      </c>
      <c r="J18" s="25" t="s">
        <v>20</v>
      </c>
      <c r="K18" s="25" t="s">
        <v>37</v>
      </c>
      <c r="L18" s="25" t="s">
        <v>38</v>
      </c>
      <c r="M18" s="25" t="s">
        <v>32</v>
      </c>
      <c r="N18" s="25" t="s">
        <v>33</v>
      </c>
    </row>
    <row r="19" spans="1:30">
      <c r="A19" s="8" t="s">
        <v>17</v>
      </c>
      <c r="B19" s="8">
        <f t="shared" ref="B19:N19" si="2">(B15-B12)*100/(B11-B12)</f>
        <v>59.088697908221178</v>
      </c>
      <c r="C19" s="8">
        <f t="shared" si="2"/>
        <v>69.094138543516863</v>
      </c>
      <c r="D19" s="8">
        <f t="shared" si="2"/>
        <v>37.879968823070918</v>
      </c>
      <c r="E19" s="8">
        <f t="shared" si="2"/>
        <v>32.952380952380949</v>
      </c>
      <c r="F19" s="8">
        <f t="shared" si="2"/>
        <v>26.544240400667775</v>
      </c>
      <c r="G19" s="8">
        <f t="shared" si="2"/>
        <v>25.05293901016838</v>
      </c>
      <c r="H19" s="8">
        <f t="shared" si="2"/>
        <v>57.634730538922156</v>
      </c>
      <c r="I19" s="8">
        <f t="shared" si="2"/>
        <v>40.159868747376848</v>
      </c>
      <c r="J19" s="8">
        <f t="shared" si="2"/>
        <v>35.752212389380531</v>
      </c>
      <c r="K19" s="8">
        <f t="shared" si="2"/>
        <v>16.190552790513426</v>
      </c>
      <c r="L19" s="8">
        <f t="shared" si="2"/>
        <v>29.652351738241311</v>
      </c>
      <c r="M19" s="8">
        <f t="shared" si="2"/>
        <v>35.987776030341621</v>
      </c>
      <c r="N19" s="8">
        <f t="shared" si="2"/>
        <v>42.404006677796325</v>
      </c>
    </row>
    <row r="20" spans="1:30">
      <c r="A20" s="8" t="s">
        <v>1</v>
      </c>
      <c r="B20" s="8">
        <f>(B16-B10)*100/(B9-B10)</f>
        <v>60.337273622614568</v>
      </c>
      <c r="C20" s="8">
        <f>(C16-C12)*100/(C11-C12)</f>
        <v>73.357015985790397</v>
      </c>
      <c r="D20" s="8">
        <f>(D16-D12)*100/(D11-D12)</f>
        <v>26.695245518316444</v>
      </c>
      <c r="E20" s="8">
        <f>(E16-E12)*100/(E11-E12)</f>
        <v>40.571428571428569</v>
      </c>
      <c r="F20" s="8">
        <f>(F16-F12)*100/(F11-F12)</f>
        <v>43.439065108514185</v>
      </c>
      <c r="G20" s="8">
        <f t="shared" ref="G20:N20" si="3">(G16-G12)*100/(G11-G12)</f>
        <v>42.995954982234316</v>
      </c>
      <c r="H20" s="8">
        <f t="shared" si="3"/>
        <v>85.029940119760482</v>
      </c>
      <c r="I20" s="8">
        <f t="shared" si="3"/>
        <v>48.931668028408836</v>
      </c>
      <c r="J20" s="8">
        <f t="shared" si="3"/>
        <v>48.704018333274327</v>
      </c>
      <c r="K20" s="8">
        <f>(K16-K12)*100/(K11-K12)</f>
        <v>88.277547390240343</v>
      </c>
      <c r="L20" s="8">
        <f t="shared" si="3"/>
        <v>34.00061962792519</v>
      </c>
      <c r="M20" s="8">
        <f t="shared" si="3"/>
        <v>54.439063354717412</v>
      </c>
      <c r="N20" s="8">
        <f t="shared" si="3"/>
        <v>33.388981636060102</v>
      </c>
    </row>
    <row r="22" spans="1:30">
      <c r="A22" s="23"/>
      <c r="B22" t="s">
        <v>93</v>
      </c>
      <c r="C22" s="27" t="s">
        <v>52</v>
      </c>
    </row>
    <row r="23" spans="1:30">
      <c r="A23" s="1" t="s">
        <v>2</v>
      </c>
      <c r="B23" s="33">
        <f>AVERAGE(B19:N19)</f>
        <v>39.10722035004602</v>
      </c>
      <c r="C23" s="33">
        <f>C31</f>
        <v>24.73841091920205</v>
      </c>
    </row>
    <row r="24" spans="1:30">
      <c r="A24" s="1" t="s">
        <v>1</v>
      </c>
      <c r="B24" s="33">
        <f>AVERAGE(B20:N20)</f>
        <v>52.320601713791163</v>
      </c>
      <c r="C24" s="33">
        <f>C32</f>
        <v>33.605709241883559</v>
      </c>
    </row>
    <row r="25" spans="1:30">
      <c r="M25" t="s">
        <v>39</v>
      </c>
    </row>
    <row r="26" spans="1:30">
      <c r="A26" s="7"/>
      <c r="D26" s="27" t="s">
        <v>51</v>
      </c>
    </row>
    <row r="27" spans="1:30">
      <c r="A27" s="1" t="s">
        <v>45</v>
      </c>
      <c r="B27" s="1">
        <f>(B19-$B$23)^2+(C19-$B$23)^2+(D19-$B$23)^2+(E19-$B$23)^2+(F19-$B$23)^2+(G19-$B$23)^2+(H19-$B$23)^2+(I19-$B$23)^2+(J19-$B$23)^2+(K19-$B$23)^2+(L19-$B$23)^2+(M19-$B$23)^2+(N19-$B$23)^2</f>
        <v>2684.0148979788382</v>
      </c>
      <c r="C27" s="1">
        <f>(B27/13)^0.5</f>
        <v>14.368809430843971</v>
      </c>
      <c r="D27" s="1">
        <f>C27/B23</f>
        <v>0.36742088295280906</v>
      </c>
    </row>
    <row r="28" spans="1:30">
      <c r="A28" s="1" t="s">
        <v>46</v>
      </c>
      <c r="B28" s="1">
        <f>(B20-$B$24)^2+(C20-$B$24)^2+(D20-$B$24)^2+(E20-$B$24)^2+(F20-$B$24)^2+(G20-$B$24)^2+(H20-$B$24)^2+(I20-$B$24)^2+(J20-$B$24)^2+(K20-$B$24)^2+(L20-$B$24)^2+(M20-$B$24)^2+(N20-$B$24)^2</f>
        <v>4553.2136030558313</v>
      </c>
      <c r="C28" s="1">
        <f>(B28/13)^0.5</f>
        <v>18.714892471907604</v>
      </c>
      <c r="D28" s="1">
        <f>C28/B24</f>
        <v>0.35769643044786609</v>
      </c>
    </row>
    <row r="30" spans="1:30" ht="21.75">
      <c r="A30" s="27" t="s">
        <v>52</v>
      </c>
      <c r="B30" s="27"/>
      <c r="C30" s="27"/>
      <c r="Q30" s="9"/>
      <c r="R30" s="25" t="s">
        <v>40</v>
      </c>
      <c r="S30" s="25" t="s">
        <v>11</v>
      </c>
      <c r="T30" s="25" t="s">
        <v>12</v>
      </c>
      <c r="U30" s="25" t="s">
        <v>13</v>
      </c>
      <c r="V30" s="25" t="s">
        <v>14</v>
      </c>
      <c r="W30" s="25" t="s">
        <v>15</v>
      </c>
      <c r="X30" s="25" t="s">
        <v>44</v>
      </c>
      <c r="Y30" s="25" t="s">
        <v>16</v>
      </c>
      <c r="Z30" s="25" t="s">
        <v>20</v>
      </c>
      <c r="AA30" s="25" t="s">
        <v>37</v>
      </c>
      <c r="AB30" s="25" t="s">
        <v>38</v>
      </c>
      <c r="AC30" s="25" t="s">
        <v>32</v>
      </c>
      <c r="AD30" s="25" t="s">
        <v>33</v>
      </c>
    </row>
    <row r="31" spans="1:30">
      <c r="A31" s="27" t="s">
        <v>2</v>
      </c>
      <c r="B31" s="27">
        <f>B23/D27</f>
        <v>106.43711929424786</v>
      </c>
      <c r="C31" s="27">
        <f>(1-D27)*B23</f>
        <v>24.73841091920205</v>
      </c>
      <c r="Q31" s="14" t="s">
        <v>23</v>
      </c>
      <c r="R31">
        <f>B11</f>
        <v>92.73</v>
      </c>
      <c r="S31" s="32">
        <f t="shared" ref="S31:AD31" si="4">C11</f>
        <v>95.7</v>
      </c>
      <c r="T31" s="32">
        <f t="shared" si="4"/>
        <v>98.05</v>
      </c>
      <c r="U31" s="32">
        <f t="shared" si="4"/>
        <v>66.099999999999994</v>
      </c>
      <c r="V31" s="32">
        <f t="shared" si="4"/>
        <v>86.5</v>
      </c>
      <c r="W31" s="32">
        <f t="shared" si="4"/>
        <v>85.61099999999999</v>
      </c>
      <c r="X31" s="32">
        <f t="shared" si="4"/>
        <v>86.8</v>
      </c>
      <c r="Y31" s="32">
        <f t="shared" si="4"/>
        <v>78.087000000000003</v>
      </c>
      <c r="Z31" s="32">
        <f t="shared" si="4"/>
        <v>84.4</v>
      </c>
      <c r="AA31" s="32">
        <f t="shared" si="4"/>
        <v>81.299999999999983</v>
      </c>
      <c r="AB31" s="32">
        <f t="shared" si="4"/>
        <v>87.833333333333329</v>
      </c>
      <c r="AC31" s="32">
        <f t="shared" si="4"/>
        <v>84.78</v>
      </c>
      <c r="AD31" s="32">
        <f t="shared" si="4"/>
        <v>82.5</v>
      </c>
    </row>
    <row r="32" spans="1:30">
      <c r="A32" s="27" t="s">
        <v>1</v>
      </c>
      <c r="B32" s="27">
        <f>B24/D28</f>
        <v>146.27096403584838</v>
      </c>
      <c r="C32" s="27">
        <f>(1-D28)*B24</f>
        <v>33.605709241883559</v>
      </c>
      <c r="Q32" t="s">
        <v>2</v>
      </c>
      <c r="R32">
        <f>B15</f>
        <v>67.5</v>
      </c>
      <c r="S32" s="32">
        <f t="shared" ref="S32:AD32" si="5">C15</f>
        <v>78.3</v>
      </c>
      <c r="T32" s="32">
        <f t="shared" si="5"/>
        <v>58.199999999999996</v>
      </c>
      <c r="U32" s="32">
        <f t="shared" si="5"/>
        <v>30.9</v>
      </c>
      <c r="V32" s="32">
        <f t="shared" si="5"/>
        <v>42.5</v>
      </c>
      <c r="W32" s="32">
        <f t="shared" si="5"/>
        <v>27</v>
      </c>
      <c r="X32" s="32">
        <f t="shared" si="5"/>
        <v>58.5</v>
      </c>
      <c r="Y32" s="32">
        <f t="shared" si="5"/>
        <v>46.72</v>
      </c>
      <c r="Z32" s="32">
        <f t="shared" si="5"/>
        <v>48.1</v>
      </c>
      <c r="AA32" s="32">
        <f t="shared" si="5"/>
        <v>15.090536704505606</v>
      </c>
      <c r="AB32" s="32">
        <f t="shared" si="5"/>
        <v>30.5</v>
      </c>
      <c r="AC32" s="32">
        <f t="shared" si="5"/>
        <v>52.965924687079784</v>
      </c>
      <c r="AD32" s="32">
        <f t="shared" si="5"/>
        <v>48</v>
      </c>
    </row>
    <row r="33" spans="17:30">
      <c r="Q33" s="14" t="s">
        <v>1</v>
      </c>
      <c r="R33" s="7">
        <f>B16</f>
        <v>68.269996643066406</v>
      </c>
      <c r="S33" s="32">
        <f t="shared" ref="S33:AD33" si="6">C16</f>
        <v>80.7</v>
      </c>
      <c r="T33" s="32">
        <f t="shared" si="6"/>
        <v>51.024999999999999</v>
      </c>
      <c r="U33" s="32">
        <f t="shared" si="6"/>
        <v>34.9</v>
      </c>
      <c r="V33" s="32">
        <f t="shared" si="6"/>
        <v>52.62</v>
      </c>
      <c r="W33" s="32">
        <f t="shared" si="6"/>
        <v>41.032012666666667</v>
      </c>
      <c r="X33" s="32">
        <f t="shared" si="6"/>
        <v>76.8</v>
      </c>
      <c r="Y33" s="32">
        <f t="shared" si="6"/>
        <v>51.318001747131348</v>
      </c>
      <c r="Z33" s="32">
        <f t="shared" si="6"/>
        <v>55.417770358299997</v>
      </c>
      <c r="AA33" s="32">
        <f t="shared" si="6"/>
        <v>72.039262438289853</v>
      </c>
      <c r="AB33" s="32">
        <f t="shared" si="6"/>
        <v>34.043838330092356</v>
      </c>
      <c r="AC33" s="32">
        <f t="shared" si="6"/>
        <v>62.136214487294552</v>
      </c>
      <c r="AD33" s="32">
        <f t="shared" si="6"/>
        <v>42.6</v>
      </c>
    </row>
  </sheetData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37"/>
  <sheetViews>
    <sheetView topLeftCell="A10" workbookViewId="0">
      <selection activeCell="S30" sqref="S30"/>
    </sheetView>
  </sheetViews>
  <sheetFormatPr defaultColWidth="9.140625" defaultRowHeight="15"/>
  <cols>
    <col min="1" max="1" width="12" style="7" customWidth="1"/>
    <col min="2" max="14" width="9.140625" style="7"/>
    <col min="15" max="15" width="11.85546875" style="7" customWidth="1"/>
    <col min="16" max="16384" width="9.140625" style="7"/>
  </cols>
  <sheetData>
    <row r="1" spans="1:30" ht="21.75">
      <c r="A1" s="13">
        <v>2018</v>
      </c>
      <c r="B1" s="16" t="s">
        <v>40</v>
      </c>
      <c r="C1" s="16" t="s">
        <v>11</v>
      </c>
      <c r="D1" s="24" t="s">
        <v>12</v>
      </c>
      <c r="E1" s="16" t="s">
        <v>13</v>
      </c>
      <c r="F1" s="16" t="s">
        <v>14</v>
      </c>
      <c r="G1" s="16" t="s">
        <v>15</v>
      </c>
      <c r="H1" s="16" t="s">
        <v>25</v>
      </c>
      <c r="I1" s="16" t="s">
        <v>16</v>
      </c>
      <c r="J1" s="16" t="s">
        <v>20</v>
      </c>
      <c r="K1" s="24" t="s">
        <v>30</v>
      </c>
      <c r="L1" s="24" t="s">
        <v>31</v>
      </c>
      <c r="M1" s="16" t="s">
        <v>32</v>
      </c>
      <c r="N1" s="16" t="s">
        <v>33</v>
      </c>
      <c r="Q1" s="9"/>
      <c r="R1" s="25" t="s">
        <v>40</v>
      </c>
      <c r="S1" s="25" t="s">
        <v>11</v>
      </c>
      <c r="T1" s="25" t="s">
        <v>12</v>
      </c>
      <c r="U1" s="25" t="s">
        <v>13</v>
      </c>
      <c r="V1" s="25" t="s">
        <v>14</v>
      </c>
      <c r="W1" s="25" t="s">
        <v>15</v>
      </c>
      <c r="X1" s="25" t="s">
        <v>44</v>
      </c>
      <c r="Y1" s="25" t="s">
        <v>16</v>
      </c>
      <c r="Z1" s="25" t="s">
        <v>20</v>
      </c>
      <c r="AA1" s="25" t="s">
        <v>37</v>
      </c>
      <c r="AB1" s="25" t="s">
        <v>38</v>
      </c>
      <c r="AC1" s="25" t="s">
        <v>32</v>
      </c>
      <c r="AD1" s="25" t="s">
        <v>33</v>
      </c>
    </row>
    <row r="2" spans="1:30" ht="21.75">
      <c r="A2" s="17" t="s">
        <v>34</v>
      </c>
      <c r="B2" s="29">
        <v>7.8703703703703692E-2</v>
      </c>
      <c r="C2" s="29">
        <v>5.3240740740740734E-2</v>
      </c>
      <c r="D2" s="29">
        <v>7.1759259259259259E-2</v>
      </c>
      <c r="E2" s="29">
        <v>6.25E-2</v>
      </c>
      <c r="F2" s="29">
        <v>9.0277777777777776E-2</v>
      </c>
      <c r="G2" s="29">
        <v>0.10185185185185186</v>
      </c>
      <c r="H2" s="29">
        <v>9.0277777777777776E-2</v>
      </c>
      <c r="I2" s="29">
        <v>4.6296296296296294E-2</v>
      </c>
      <c r="J2" s="29">
        <v>9.4907407407407399E-2</v>
      </c>
      <c r="K2" s="29">
        <v>7.407407407407407E-2</v>
      </c>
      <c r="L2" s="29">
        <v>7.1759259259259259E-2</v>
      </c>
      <c r="M2" s="29">
        <v>8.3333333333333329E-2</v>
      </c>
      <c r="N2" s="29">
        <v>8.1018518518518517E-2</v>
      </c>
      <c r="Q2" s="14" t="s">
        <v>2</v>
      </c>
      <c r="R2" s="14">
        <f t="shared" ref="R2:AD3" si="0">B19</f>
        <v>59.088697908221178</v>
      </c>
      <c r="S2" s="14">
        <f t="shared" si="0"/>
        <v>69.094138543516863</v>
      </c>
      <c r="T2" s="14">
        <f t="shared" si="0"/>
        <v>37.879968823070918</v>
      </c>
      <c r="U2" s="14">
        <f t="shared" si="0"/>
        <v>32.952380952380949</v>
      </c>
      <c r="V2" s="14">
        <f t="shared" si="0"/>
        <v>26.544240400667775</v>
      </c>
      <c r="W2" s="14">
        <f t="shared" si="0"/>
        <v>25.05293901016838</v>
      </c>
      <c r="X2" s="14">
        <f t="shared" si="0"/>
        <v>57.634730538922156</v>
      </c>
      <c r="Y2" s="14">
        <f t="shared" si="0"/>
        <v>40.159868747376848</v>
      </c>
      <c r="Z2" s="14">
        <f t="shared" si="0"/>
        <v>35.752212389380531</v>
      </c>
      <c r="AA2" s="14">
        <f t="shared" si="0"/>
        <v>16.190552790513426</v>
      </c>
      <c r="AB2" s="14">
        <f t="shared" si="0"/>
        <v>29.652351738241311</v>
      </c>
      <c r="AC2" s="14">
        <f t="shared" si="0"/>
        <v>35.987776030341621</v>
      </c>
      <c r="AD2" s="14">
        <f t="shared" si="0"/>
        <v>42.404006677796325</v>
      </c>
    </row>
    <row r="3" spans="1:30" ht="21.75">
      <c r="A3" s="15" t="s">
        <v>2</v>
      </c>
      <c r="B3" s="173">
        <v>67.5</v>
      </c>
      <c r="C3" s="173">
        <v>0.78300000000000003</v>
      </c>
      <c r="D3" s="173">
        <v>2.6720000000000002</v>
      </c>
      <c r="E3" s="173">
        <v>30.9</v>
      </c>
      <c r="F3" s="173">
        <v>4.25</v>
      </c>
      <c r="G3" s="173">
        <v>-1.1499999999999999</v>
      </c>
      <c r="H3" s="173">
        <v>58.5</v>
      </c>
      <c r="I3" s="173">
        <v>4.6719999999999997</v>
      </c>
      <c r="J3" s="173">
        <v>48.1</v>
      </c>
      <c r="K3" s="173">
        <v>8.4909463295494394</v>
      </c>
      <c r="L3" s="173">
        <v>83.4</v>
      </c>
      <c r="M3" s="173">
        <v>52.965924687079784</v>
      </c>
      <c r="N3" s="173">
        <v>48</v>
      </c>
      <c r="Q3" s="14" t="s">
        <v>41</v>
      </c>
      <c r="R3" s="14">
        <f t="shared" si="0"/>
        <v>94.048966367105152</v>
      </c>
      <c r="S3" s="14">
        <f t="shared" si="0"/>
        <v>90.941385435168755</v>
      </c>
      <c r="T3" s="14">
        <f t="shared" si="0"/>
        <v>70.732657833203433</v>
      </c>
      <c r="U3" s="14">
        <f t="shared" si="0"/>
        <v>80.952380952380963</v>
      </c>
      <c r="V3" s="14">
        <f t="shared" si="0"/>
        <v>66.126878130217037</v>
      </c>
      <c r="W3" s="14">
        <f t="shared" si="0"/>
        <v>78.534327666046053</v>
      </c>
      <c r="X3" s="14">
        <f t="shared" si="0"/>
        <v>95.808383233532936</v>
      </c>
      <c r="Y3" s="14">
        <f t="shared" si="0"/>
        <v>63.060395417152854</v>
      </c>
      <c r="Z3" s="14">
        <f t="shared" si="0"/>
        <v>79.890173681061938</v>
      </c>
      <c r="AA3" s="14">
        <f t="shared" si="0"/>
        <v>43.020263986889596</v>
      </c>
      <c r="AB3" s="14">
        <f t="shared" si="0"/>
        <v>82.1929719533846</v>
      </c>
      <c r="AC3" s="14">
        <f t="shared" si="0"/>
        <v>89.615728225726414</v>
      </c>
      <c r="AD3" s="14">
        <f t="shared" si="0"/>
        <v>73.288814691151927</v>
      </c>
    </row>
    <row r="4" spans="1:30" ht="21.75">
      <c r="A4" s="15" t="s">
        <v>41</v>
      </c>
      <c r="B4" s="12">
        <v>89.05999755859375</v>
      </c>
      <c r="C4" s="12">
        <v>0.90600000000000003</v>
      </c>
      <c r="D4" s="12">
        <v>1.829</v>
      </c>
      <c r="E4" s="196">
        <v>56.1</v>
      </c>
      <c r="F4" s="12">
        <v>6.6210000000000004</v>
      </c>
      <c r="G4" s="196">
        <v>0.94120786666666667</v>
      </c>
      <c r="H4" s="196">
        <v>84</v>
      </c>
      <c r="I4" s="196">
        <v>5.8723998069763184</v>
      </c>
      <c r="J4" s="196">
        <v>73.0379481298</v>
      </c>
      <c r="K4" s="32">
        <v>6.3713991450357232</v>
      </c>
      <c r="L4" s="195">
        <v>32.015273429589861</v>
      </c>
      <c r="M4" s="196">
        <v>79.619016928186028</v>
      </c>
      <c r="N4" s="196">
        <v>66.5</v>
      </c>
    </row>
    <row r="5" spans="1:30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30">
      <c r="A6" s="14" t="s">
        <v>19</v>
      </c>
      <c r="B6" s="20">
        <v>100</v>
      </c>
      <c r="C6" s="20">
        <v>1</v>
      </c>
      <c r="D6" s="20">
        <v>1</v>
      </c>
      <c r="E6" s="20">
        <v>100</v>
      </c>
      <c r="F6" s="20">
        <v>10</v>
      </c>
      <c r="G6" s="20">
        <v>2.5</v>
      </c>
      <c r="H6" s="20">
        <v>100</v>
      </c>
      <c r="I6" s="20">
        <v>10</v>
      </c>
      <c r="J6" s="20">
        <v>100</v>
      </c>
      <c r="K6" s="20">
        <v>1</v>
      </c>
      <c r="L6" s="20">
        <v>120</v>
      </c>
      <c r="M6" s="20">
        <v>100</v>
      </c>
      <c r="N6" s="20">
        <v>100</v>
      </c>
    </row>
    <row r="7" spans="1:30">
      <c r="A7" s="14" t="s">
        <v>18</v>
      </c>
      <c r="B7" s="21">
        <v>0</v>
      </c>
      <c r="C7" s="20">
        <v>0</v>
      </c>
      <c r="D7" s="20">
        <v>5</v>
      </c>
      <c r="E7" s="20">
        <v>0</v>
      </c>
      <c r="F7" s="20">
        <v>0</v>
      </c>
      <c r="G7" s="20">
        <v>-2.5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</row>
    <row r="8" spans="1:30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30">
      <c r="A9" s="14" t="s">
        <v>21</v>
      </c>
      <c r="B9" s="20">
        <v>92.73</v>
      </c>
      <c r="C9" s="20">
        <v>0.95699999999999996</v>
      </c>
      <c r="D9" s="20">
        <v>1.0780000000000001</v>
      </c>
      <c r="E9" s="20">
        <v>66.099999999999994</v>
      </c>
      <c r="F9" s="20">
        <v>8.65</v>
      </c>
      <c r="G9" s="20">
        <v>1.7805500000000001</v>
      </c>
      <c r="H9" s="20">
        <v>86.8</v>
      </c>
      <c r="I9" s="20">
        <v>7.8087</v>
      </c>
      <c r="J9" s="20">
        <v>84.4</v>
      </c>
      <c r="K9" s="20">
        <v>1.87</v>
      </c>
      <c r="L9" s="20">
        <v>14.6</v>
      </c>
      <c r="M9" s="20">
        <v>84.78</v>
      </c>
      <c r="N9" s="20">
        <v>82.5</v>
      </c>
    </row>
    <row r="10" spans="1:30">
      <c r="A10" s="14" t="s">
        <v>22</v>
      </c>
      <c r="B10" s="20">
        <v>31.06</v>
      </c>
      <c r="C10" s="20">
        <v>0.39400000000000002</v>
      </c>
      <c r="D10" s="20">
        <v>3.6440000000000001</v>
      </c>
      <c r="E10" s="20">
        <v>13.6</v>
      </c>
      <c r="F10" s="20">
        <v>2.66</v>
      </c>
      <c r="G10" s="20">
        <v>-2.12961</v>
      </c>
      <c r="H10" s="20">
        <v>20</v>
      </c>
      <c r="I10" s="20">
        <v>2.5669</v>
      </c>
      <c r="J10" s="20">
        <v>27.9</v>
      </c>
      <c r="K10" s="20">
        <v>9.77</v>
      </c>
      <c r="L10" s="20">
        <v>112.4</v>
      </c>
      <c r="M10" s="20">
        <v>35.08</v>
      </c>
      <c r="N10" s="20">
        <v>22.6</v>
      </c>
    </row>
    <row r="11" spans="1:30">
      <c r="A11" s="14" t="s">
        <v>23</v>
      </c>
      <c r="B11" s="22">
        <f>B9</f>
        <v>92.73</v>
      </c>
      <c r="C11" s="22">
        <f>C9*100</f>
        <v>95.7</v>
      </c>
      <c r="D11" s="22">
        <f>(4-(D9-1))*25</f>
        <v>98.05</v>
      </c>
      <c r="E11" s="22">
        <f>E9</f>
        <v>66.099999999999994</v>
      </c>
      <c r="F11" s="22">
        <f>F9*10</f>
        <v>86.5</v>
      </c>
      <c r="G11" s="22">
        <f>(G9+2.5)*20</f>
        <v>85.61099999999999</v>
      </c>
      <c r="H11" s="22">
        <f>H9</f>
        <v>86.8</v>
      </c>
      <c r="I11" s="22">
        <f>I9*10</f>
        <v>78.087000000000003</v>
      </c>
      <c r="J11" s="22">
        <f>J9</f>
        <v>84.4</v>
      </c>
      <c r="K11" s="22">
        <f>(10-K9)*100/10</f>
        <v>81.299999999999983</v>
      </c>
      <c r="L11" s="22">
        <f>100-(100*L9/120)</f>
        <v>87.833333333333329</v>
      </c>
      <c r="M11" s="22">
        <f>M9</f>
        <v>84.78</v>
      </c>
      <c r="N11" s="22">
        <f>N9</f>
        <v>82.5</v>
      </c>
      <c r="O11" s="7" t="s">
        <v>35</v>
      </c>
    </row>
    <row r="12" spans="1:30">
      <c r="A12" s="14" t="s">
        <v>24</v>
      </c>
      <c r="B12" s="22">
        <f>B10</f>
        <v>31.06</v>
      </c>
      <c r="C12" s="22">
        <f>C10*100</f>
        <v>39.4</v>
      </c>
      <c r="D12" s="22">
        <f>(4-(D10-1))*25</f>
        <v>33.9</v>
      </c>
      <c r="E12" s="22">
        <f>E10</f>
        <v>13.6</v>
      </c>
      <c r="F12" s="22">
        <f>F10*10</f>
        <v>26.6</v>
      </c>
      <c r="G12" s="22">
        <f>(G10+2.5)*20</f>
        <v>7.4077999999999999</v>
      </c>
      <c r="H12" s="22">
        <f>H10</f>
        <v>20</v>
      </c>
      <c r="I12" s="22">
        <f>I10*10</f>
        <v>25.669</v>
      </c>
      <c r="J12" s="22">
        <f>J10</f>
        <v>27.9</v>
      </c>
      <c r="K12" s="22">
        <f>(10-K10)*100/10</f>
        <v>2.3000000000000043</v>
      </c>
      <c r="L12" s="22">
        <f>100-(100*L10/120)</f>
        <v>6.3333333333333286</v>
      </c>
      <c r="M12" s="22">
        <f>M10</f>
        <v>35.08</v>
      </c>
      <c r="N12" s="22">
        <f>N10</f>
        <v>22.6</v>
      </c>
      <c r="O12" s="7" t="s">
        <v>35</v>
      </c>
    </row>
    <row r="13" spans="1:30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30">
      <c r="A14" s="8" t="s">
        <v>35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30">
      <c r="A15" s="6" t="s">
        <v>2</v>
      </c>
      <c r="B15" s="22">
        <f>B3</f>
        <v>67.5</v>
      </c>
      <c r="C15" s="22">
        <f>C3*100</f>
        <v>78.3</v>
      </c>
      <c r="D15" s="22">
        <f>(5-D3)*25</f>
        <v>58.199999999999996</v>
      </c>
      <c r="E15" s="22">
        <f>E3</f>
        <v>30.9</v>
      </c>
      <c r="F15" s="22">
        <f>F3*10</f>
        <v>42.5</v>
      </c>
      <c r="G15" s="22">
        <f>(G3+2.5)*20</f>
        <v>27</v>
      </c>
      <c r="H15" s="22">
        <f>H3</f>
        <v>58.5</v>
      </c>
      <c r="I15" s="22">
        <f>I3*10</f>
        <v>46.72</v>
      </c>
      <c r="J15" s="22">
        <f>J3</f>
        <v>48.1</v>
      </c>
      <c r="K15" s="22">
        <f>(10-K3)*100/10</f>
        <v>15.090536704505606</v>
      </c>
      <c r="L15" s="22">
        <f>100-(100*L3/120)</f>
        <v>30.5</v>
      </c>
      <c r="M15" s="22">
        <f>M3</f>
        <v>52.965924687079784</v>
      </c>
      <c r="N15" s="22">
        <f>N3</f>
        <v>48</v>
      </c>
    </row>
    <row r="16" spans="1:30">
      <c r="A16" s="6" t="s">
        <v>41</v>
      </c>
      <c r="B16" s="22">
        <f>B4</f>
        <v>89.05999755859375</v>
      </c>
      <c r="C16" s="22">
        <f>C4*100</f>
        <v>90.600000000000009</v>
      </c>
      <c r="D16" s="22">
        <f>(5-D4)*25</f>
        <v>79.275000000000006</v>
      </c>
      <c r="E16" s="22">
        <f>E4</f>
        <v>56.1</v>
      </c>
      <c r="F16" s="22">
        <f>F4*10</f>
        <v>66.210000000000008</v>
      </c>
      <c r="G16" s="22">
        <f>(G4+2.5)*20</f>
        <v>68.824157333333332</v>
      </c>
      <c r="H16" s="22">
        <f>H4</f>
        <v>84</v>
      </c>
      <c r="I16" s="22">
        <f>I4*10</f>
        <v>58.723998069763184</v>
      </c>
      <c r="J16" s="22">
        <f>J4</f>
        <v>73.0379481298</v>
      </c>
      <c r="K16" s="22">
        <f>(10-K4)*100/10</f>
        <v>36.286008549642773</v>
      </c>
      <c r="L16" s="22">
        <f>100-(100*L4/120)</f>
        <v>73.320605475341779</v>
      </c>
      <c r="M16" s="22">
        <f>M4</f>
        <v>79.619016928186028</v>
      </c>
      <c r="N16" s="22">
        <f>N4</f>
        <v>66.5</v>
      </c>
    </row>
    <row r="18" spans="1:30" ht="21.75">
      <c r="A18" s="9" t="s">
        <v>36</v>
      </c>
      <c r="B18" s="25" t="s">
        <v>40</v>
      </c>
      <c r="C18" s="25" t="s">
        <v>11</v>
      </c>
      <c r="D18" s="25" t="s">
        <v>12</v>
      </c>
      <c r="E18" s="25" t="s">
        <v>13</v>
      </c>
      <c r="F18" s="25" t="s">
        <v>14</v>
      </c>
      <c r="G18" s="25" t="s">
        <v>15</v>
      </c>
      <c r="H18" s="25" t="s">
        <v>44</v>
      </c>
      <c r="I18" s="25" t="s">
        <v>16</v>
      </c>
      <c r="J18" s="25" t="s">
        <v>20</v>
      </c>
      <c r="K18" s="25" t="s">
        <v>37</v>
      </c>
      <c r="L18" s="25" t="s">
        <v>38</v>
      </c>
      <c r="M18" s="25" t="s">
        <v>32</v>
      </c>
      <c r="N18" s="25" t="s">
        <v>33</v>
      </c>
    </row>
    <row r="19" spans="1:30">
      <c r="A19" s="8" t="s">
        <v>17</v>
      </c>
      <c r="B19" s="8">
        <f t="shared" ref="B19:N19" si="1">(B15-B12)*100/(B11-B12)</f>
        <v>59.088697908221178</v>
      </c>
      <c r="C19" s="8">
        <f t="shared" si="1"/>
        <v>69.094138543516863</v>
      </c>
      <c r="D19" s="8">
        <f t="shared" si="1"/>
        <v>37.879968823070918</v>
      </c>
      <c r="E19" s="8">
        <f t="shared" si="1"/>
        <v>32.952380952380949</v>
      </c>
      <c r="F19" s="8">
        <f t="shared" si="1"/>
        <v>26.544240400667775</v>
      </c>
      <c r="G19" s="8">
        <f t="shared" si="1"/>
        <v>25.05293901016838</v>
      </c>
      <c r="H19" s="8">
        <f t="shared" si="1"/>
        <v>57.634730538922156</v>
      </c>
      <c r="I19" s="8">
        <f t="shared" si="1"/>
        <v>40.159868747376848</v>
      </c>
      <c r="J19" s="8">
        <f t="shared" si="1"/>
        <v>35.752212389380531</v>
      </c>
      <c r="K19" s="8">
        <f t="shared" si="1"/>
        <v>16.190552790513426</v>
      </c>
      <c r="L19" s="8">
        <f t="shared" si="1"/>
        <v>29.652351738241311</v>
      </c>
      <c r="M19" s="8">
        <f t="shared" si="1"/>
        <v>35.987776030341621</v>
      </c>
      <c r="N19" s="8">
        <f t="shared" si="1"/>
        <v>42.404006677796325</v>
      </c>
    </row>
    <row r="20" spans="1:30">
      <c r="A20" s="8" t="s">
        <v>41</v>
      </c>
      <c r="B20" s="8">
        <f>(B16-B10)*100/(B9-B10)</f>
        <v>94.048966367105152</v>
      </c>
      <c r="C20" s="8">
        <f>(C16-C12)*100/(C11-C12)</f>
        <v>90.941385435168755</v>
      </c>
      <c r="D20" s="8">
        <f>(D16-D12)*100/(D11-D12)</f>
        <v>70.732657833203433</v>
      </c>
      <c r="E20" s="8">
        <f>(E16-E12)*100/(E11-E12)</f>
        <v>80.952380952380963</v>
      </c>
      <c r="F20" s="8">
        <f>(F16-F12)*100/(F11-F12)</f>
        <v>66.126878130217037</v>
      </c>
      <c r="G20" s="8">
        <f t="shared" ref="G20:N20" si="2">(G16-G12)*100/(G11-G12)</f>
        <v>78.534327666046053</v>
      </c>
      <c r="H20" s="8">
        <f t="shared" si="2"/>
        <v>95.808383233532936</v>
      </c>
      <c r="I20" s="8">
        <f t="shared" si="2"/>
        <v>63.060395417152854</v>
      </c>
      <c r="J20" s="8">
        <f t="shared" si="2"/>
        <v>79.890173681061938</v>
      </c>
      <c r="K20" s="8">
        <f>(K16-K12)*100/(K11-K12)</f>
        <v>43.020263986889596</v>
      </c>
      <c r="L20" s="8">
        <f t="shared" si="2"/>
        <v>82.1929719533846</v>
      </c>
      <c r="M20" s="8">
        <f t="shared" si="2"/>
        <v>89.615728225726414</v>
      </c>
      <c r="N20" s="8">
        <f t="shared" si="2"/>
        <v>73.288814691151927</v>
      </c>
    </row>
    <row r="22" spans="1:30">
      <c r="A22" s="23"/>
      <c r="B22" s="7" t="s">
        <v>93</v>
      </c>
      <c r="C22" s="27" t="s">
        <v>52</v>
      </c>
    </row>
    <row r="23" spans="1:30">
      <c r="A23" s="1" t="s">
        <v>2</v>
      </c>
      <c r="B23" s="1">
        <f>AVERAGE(B19:N19)</f>
        <v>39.10722035004602</v>
      </c>
      <c r="C23" s="27">
        <f>C31</f>
        <v>24.73841091920205</v>
      </c>
    </row>
    <row r="24" spans="1:30">
      <c r="A24" s="1" t="s">
        <v>41</v>
      </c>
      <c r="B24" s="1">
        <f>AVERAGE(B20:N20)</f>
        <v>77.554871351770913</v>
      </c>
      <c r="C24" s="27">
        <f>C32</f>
        <v>63.501547849942931</v>
      </c>
    </row>
    <row r="25" spans="1:30">
      <c r="M25" s="7" t="s">
        <v>39</v>
      </c>
    </row>
    <row r="26" spans="1:30">
      <c r="C26" s="7" t="s">
        <v>53</v>
      </c>
      <c r="D26" s="27" t="s">
        <v>51</v>
      </c>
    </row>
    <row r="27" spans="1:30">
      <c r="A27" s="27" t="s">
        <v>45</v>
      </c>
      <c r="B27" s="27">
        <f>(B19-$B$23)^2+(C19-$B$23)^2+(D19-$B$23)^2+(E19-$B$23)^2+(F19-$B$23)^2+(G19-$B$23)^2+(H19-$B$23)^2+(I19-$B$23)^2+(J19-$B$23)^2+(K19-$B$23)^2+(L19-$B$23)^2+(M19-$B$23)^2+(N19-$B$23)^2</f>
        <v>2684.0148979788382</v>
      </c>
      <c r="C27" s="27">
        <f>(B27/13)^0.5</f>
        <v>14.368809430843971</v>
      </c>
      <c r="D27" s="1">
        <f>C27/B23</f>
        <v>0.36742088295280906</v>
      </c>
    </row>
    <row r="28" spans="1:30">
      <c r="A28" s="27" t="s">
        <v>47</v>
      </c>
      <c r="B28" s="27">
        <f>(B20-$B$24)^2+(C20-$B$24)^2+(D20-$B$24)^2+(E20-$B$24)^2+(F20-$B$24)^2+(G20-$B$24)^2+(H20-$B$24)^2+(I20-$B$24)^2+(J20-$B$24)^2+(K20-$B$24)^2+(L20-$B$24)^2+(M20-$B$24)^2+(N20-$B$24)^2</f>
        <v>2567.4467188113963</v>
      </c>
      <c r="C28" s="27">
        <f>(B28/13)^0.5</f>
        <v>14.053323501827975</v>
      </c>
      <c r="D28" s="1">
        <f>C28/B24</f>
        <v>0.18120491023813784</v>
      </c>
    </row>
    <row r="29" spans="1:30" ht="21.75">
      <c r="Q29" s="9"/>
      <c r="R29" s="25" t="s">
        <v>40</v>
      </c>
      <c r="S29" s="25" t="s">
        <v>11</v>
      </c>
      <c r="T29" s="25" t="s">
        <v>12</v>
      </c>
      <c r="U29" s="25" t="s">
        <v>13</v>
      </c>
      <c r="V29" s="25" t="s">
        <v>14</v>
      </c>
      <c r="W29" s="25" t="s">
        <v>15</v>
      </c>
      <c r="X29" s="25" t="s">
        <v>44</v>
      </c>
      <c r="Y29" s="25" t="s">
        <v>16</v>
      </c>
      <c r="Z29" s="25" t="s">
        <v>20</v>
      </c>
      <c r="AA29" s="25" t="s">
        <v>37</v>
      </c>
      <c r="AB29" s="25" t="s">
        <v>38</v>
      </c>
      <c r="AC29" s="25" t="s">
        <v>32</v>
      </c>
      <c r="AD29" s="25" t="s">
        <v>33</v>
      </c>
    </row>
    <row r="30" spans="1:30">
      <c r="A30" s="7" t="s">
        <v>52</v>
      </c>
      <c r="P30" s="27"/>
      <c r="Q30" s="14" t="s">
        <v>23</v>
      </c>
      <c r="R30" s="32">
        <f>B11</f>
        <v>92.73</v>
      </c>
      <c r="S30" s="32">
        <f t="shared" ref="S30:AD30" si="3">C11</f>
        <v>95.7</v>
      </c>
      <c r="T30" s="32">
        <f t="shared" si="3"/>
        <v>98.05</v>
      </c>
      <c r="U30" s="32">
        <f t="shared" si="3"/>
        <v>66.099999999999994</v>
      </c>
      <c r="V30" s="32">
        <f t="shared" si="3"/>
        <v>86.5</v>
      </c>
      <c r="W30" s="32">
        <f t="shared" si="3"/>
        <v>85.61099999999999</v>
      </c>
      <c r="X30" s="32">
        <f t="shared" si="3"/>
        <v>86.8</v>
      </c>
      <c r="Y30" s="32">
        <f t="shared" si="3"/>
        <v>78.087000000000003</v>
      </c>
      <c r="Z30" s="32">
        <f t="shared" si="3"/>
        <v>84.4</v>
      </c>
      <c r="AA30" s="32">
        <f t="shared" si="3"/>
        <v>81.299999999999983</v>
      </c>
      <c r="AB30" s="32">
        <f t="shared" si="3"/>
        <v>87.833333333333329</v>
      </c>
      <c r="AC30" s="32">
        <f t="shared" si="3"/>
        <v>84.78</v>
      </c>
      <c r="AD30" s="32">
        <f t="shared" si="3"/>
        <v>82.5</v>
      </c>
    </row>
    <row r="31" spans="1:30">
      <c r="A31" s="7" t="s">
        <v>2</v>
      </c>
      <c r="B31" s="7">
        <f>B23/D27</f>
        <v>106.43711929424786</v>
      </c>
      <c r="C31" s="7">
        <f>(1-D27)*B23</f>
        <v>24.73841091920205</v>
      </c>
      <c r="P31" s="27"/>
      <c r="Q31" s="32" t="s">
        <v>2</v>
      </c>
      <c r="R31" s="32">
        <f>B15</f>
        <v>67.5</v>
      </c>
      <c r="S31" s="32">
        <f t="shared" ref="S31:AD31" si="4">C15</f>
        <v>78.3</v>
      </c>
      <c r="T31" s="32">
        <f t="shared" si="4"/>
        <v>58.199999999999996</v>
      </c>
      <c r="U31" s="32">
        <f t="shared" si="4"/>
        <v>30.9</v>
      </c>
      <c r="V31" s="32">
        <f t="shared" si="4"/>
        <v>42.5</v>
      </c>
      <c r="W31" s="32">
        <f t="shared" si="4"/>
        <v>27</v>
      </c>
      <c r="X31" s="32">
        <f t="shared" si="4"/>
        <v>58.5</v>
      </c>
      <c r="Y31" s="32">
        <f t="shared" si="4"/>
        <v>46.72</v>
      </c>
      <c r="Z31" s="32">
        <f t="shared" si="4"/>
        <v>48.1</v>
      </c>
      <c r="AA31" s="32">
        <f t="shared" si="4"/>
        <v>15.090536704505606</v>
      </c>
      <c r="AB31" s="32">
        <f t="shared" si="4"/>
        <v>30.5</v>
      </c>
      <c r="AC31" s="32">
        <f t="shared" si="4"/>
        <v>52.965924687079784</v>
      </c>
      <c r="AD31" s="32">
        <f t="shared" si="4"/>
        <v>48</v>
      </c>
    </row>
    <row r="32" spans="1:30">
      <c r="A32" s="7" t="s">
        <v>41</v>
      </c>
      <c r="B32" s="27">
        <f>B24/D28</f>
        <v>427.99541828005107</v>
      </c>
      <c r="C32" s="27">
        <f>(1-D28)*B24</f>
        <v>63.501547849942931</v>
      </c>
      <c r="P32" s="27"/>
      <c r="Q32" s="14" t="s">
        <v>41</v>
      </c>
      <c r="R32" s="32">
        <f>B16</f>
        <v>89.05999755859375</v>
      </c>
      <c r="S32" s="32">
        <f t="shared" ref="S32:AD32" si="5">C16</f>
        <v>90.600000000000009</v>
      </c>
      <c r="T32" s="32">
        <f t="shared" si="5"/>
        <v>79.275000000000006</v>
      </c>
      <c r="U32" s="32">
        <f t="shared" si="5"/>
        <v>56.1</v>
      </c>
      <c r="V32" s="32">
        <f t="shared" si="5"/>
        <v>66.210000000000008</v>
      </c>
      <c r="W32" s="32">
        <f t="shared" si="5"/>
        <v>68.824157333333332</v>
      </c>
      <c r="X32" s="32">
        <f t="shared" si="5"/>
        <v>84</v>
      </c>
      <c r="Y32" s="32">
        <f t="shared" si="5"/>
        <v>58.723998069763184</v>
      </c>
      <c r="Z32" s="32">
        <f t="shared" si="5"/>
        <v>73.0379481298</v>
      </c>
      <c r="AA32" s="32">
        <f t="shared" si="5"/>
        <v>36.286008549642773</v>
      </c>
      <c r="AB32" s="32">
        <f t="shared" si="5"/>
        <v>73.320605475341779</v>
      </c>
      <c r="AC32" s="32">
        <f t="shared" si="5"/>
        <v>79.619016928186028</v>
      </c>
      <c r="AD32" s="32">
        <f t="shared" si="5"/>
        <v>66.5</v>
      </c>
    </row>
    <row r="33" spans="16:30"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</row>
    <row r="34" spans="16:30"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</row>
    <row r="35" spans="16:30"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</row>
    <row r="36" spans="16:30"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</row>
    <row r="37" spans="16:30"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</row>
  </sheetData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36"/>
  <sheetViews>
    <sheetView topLeftCell="A13" workbookViewId="0">
      <selection activeCell="U33" sqref="U33"/>
    </sheetView>
  </sheetViews>
  <sheetFormatPr defaultColWidth="9.140625" defaultRowHeight="15"/>
  <cols>
    <col min="1" max="1" width="12" style="7" customWidth="1"/>
    <col min="2" max="14" width="9.140625" style="7"/>
    <col min="15" max="15" width="11.85546875" style="7" customWidth="1"/>
    <col min="16" max="16384" width="9.140625" style="7"/>
  </cols>
  <sheetData>
    <row r="1" spans="1:30" ht="21.75">
      <c r="A1" s="13">
        <v>2018</v>
      </c>
      <c r="B1" s="25" t="s">
        <v>40</v>
      </c>
      <c r="C1" s="25" t="s">
        <v>11</v>
      </c>
      <c r="D1" s="25" t="s">
        <v>12</v>
      </c>
      <c r="E1" s="25" t="s">
        <v>13</v>
      </c>
      <c r="F1" s="25" t="s">
        <v>14</v>
      </c>
      <c r="G1" s="25" t="s">
        <v>15</v>
      </c>
      <c r="H1" s="25" t="s">
        <v>44</v>
      </c>
      <c r="I1" s="25" t="s">
        <v>16</v>
      </c>
      <c r="J1" s="25" t="s">
        <v>20</v>
      </c>
      <c r="K1" s="25" t="s">
        <v>37</v>
      </c>
      <c r="L1" s="25" t="s">
        <v>38</v>
      </c>
      <c r="M1" s="25" t="s">
        <v>32</v>
      </c>
      <c r="N1" s="25" t="s">
        <v>33</v>
      </c>
      <c r="Q1" s="9"/>
      <c r="R1" s="25" t="s">
        <v>40</v>
      </c>
      <c r="S1" s="25" t="s">
        <v>11</v>
      </c>
      <c r="T1" s="25" t="s">
        <v>12</v>
      </c>
      <c r="U1" s="25" t="s">
        <v>13</v>
      </c>
      <c r="V1" s="25" t="s">
        <v>14</v>
      </c>
      <c r="W1" s="25" t="s">
        <v>15</v>
      </c>
      <c r="X1" s="25" t="s">
        <v>44</v>
      </c>
      <c r="Y1" s="25" t="s">
        <v>16</v>
      </c>
      <c r="Z1" s="25" t="s">
        <v>20</v>
      </c>
      <c r="AA1" s="25" t="s">
        <v>37</v>
      </c>
      <c r="AB1" s="25" t="s">
        <v>38</v>
      </c>
      <c r="AC1" s="25" t="s">
        <v>32</v>
      </c>
      <c r="AD1" s="25" t="s">
        <v>33</v>
      </c>
    </row>
    <row r="2" spans="1:30" ht="21.75">
      <c r="A2" s="17" t="s">
        <v>34</v>
      </c>
      <c r="B2" s="29">
        <v>7.8703703703703692E-2</v>
      </c>
      <c r="C2" s="29">
        <v>5.3240740740740734E-2</v>
      </c>
      <c r="D2" s="29">
        <v>7.1759259259259259E-2</v>
      </c>
      <c r="E2" s="29">
        <v>6.25E-2</v>
      </c>
      <c r="F2" s="29">
        <v>9.0277777777777776E-2</v>
      </c>
      <c r="G2" s="29">
        <v>0.10185185185185186</v>
      </c>
      <c r="H2" s="29">
        <v>9.0277777777777776E-2</v>
      </c>
      <c r="I2" s="29">
        <v>4.6296296296296294E-2</v>
      </c>
      <c r="J2" s="29">
        <v>9.4907407407407399E-2</v>
      </c>
      <c r="K2" s="29">
        <v>7.407407407407407E-2</v>
      </c>
      <c r="L2" s="29">
        <v>7.1759259259259259E-2</v>
      </c>
      <c r="M2" s="29">
        <v>8.3333333333333329E-2</v>
      </c>
      <c r="N2" s="29">
        <v>8.1018518518518517E-2</v>
      </c>
      <c r="Q2" s="14" t="s">
        <v>2</v>
      </c>
      <c r="R2" s="14">
        <f t="shared" ref="R2:AD3" si="0">B19</f>
        <v>59.088697908221178</v>
      </c>
      <c r="S2" s="14">
        <f t="shared" si="0"/>
        <v>69.094138543516863</v>
      </c>
      <c r="T2" s="14">
        <f t="shared" si="0"/>
        <v>37.879968823070918</v>
      </c>
      <c r="U2" s="14">
        <f t="shared" si="0"/>
        <v>32.952380952380949</v>
      </c>
      <c r="V2" s="14">
        <f t="shared" si="0"/>
        <v>26.544240400667775</v>
      </c>
      <c r="W2" s="14">
        <f t="shared" si="0"/>
        <v>25.05293901016838</v>
      </c>
      <c r="X2" s="14">
        <f t="shared" si="0"/>
        <v>57.634730538922156</v>
      </c>
      <c r="Y2" s="14">
        <f t="shared" si="0"/>
        <v>40.159868747376848</v>
      </c>
      <c r="Z2" s="14">
        <f t="shared" si="0"/>
        <v>35.752212389380531</v>
      </c>
      <c r="AA2" s="14">
        <f t="shared" si="0"/>
        <v>16.190552790513426</v>
      </c>
      <c r="AB2" s="14">
        <f t="shared" si="0"/>
        <v>29.652351738241311</v>
      </c>
      <c r="AC2" s="14">
        <f t="shared" si="0"/>
        <v>35.987776030341621</v>
      </c>
      <c r="AD2" s="14">
        <f t="shared" si="0"/>
        <v>42.404006677796325</v>
      </c>
    </row>
    <row r="3" spans="1:30" ht="21.75">
      <c r="A3" s="15" t="s">
        <v>2</v>
      </c>
      <c r="B3" s="173">
        <v>67.5</v>
      </c>
      <c r="C3" s="173">
        <v>0.78300000000000003</v>
      </c>
      <c r="D3" s="173">
        <v>2.6720000000000002</v>
      </c>
      <c r="E3" s="173">
        <v>30.9</v>
      </c>
      <c r="F3" s="173">
        <v>4.25</v>
      </c>
      <c r="G3" s="173">
        <v>-1.1499999999999999</v>
      </c>
      <c r="H3" s="173">
        <v>58.5</v>
      </c>
      <c r="I3" s="173">
        <v>4.6719999999999997</v>
      </c>
      <c r="J3" s="173">
        <v>48.1</v>
      </c>
      <c r="K3" s="173">
        <v>8.4909463295494394</v>
      </c>
      <c r="L3" s="173">
        <v>83.4</v>
      </c>
      <c r="M3" s="173">
        <v>52.965924687079784</v>
      </c>
      <c r="N3" s="173">
        <v>48</v>
      </c>
      <c r="Q3" s="14" t="s">
        <v>42</v>
      </c>
      <c r="R3" s="14">
        <f t="shared" si="0"/>
        <v>56.850985481728607</v>
      </c>
      <c r="S3" s="14">
        <f t="shared" si="0"/>
        <v>64.653641207815269</v>
      </c>
      <c r="T3" s="14">
        <f t="shared" si="0"/>
        <v>57.599376461418558</v>
      </c>
      <c r="U3" s="14">
        <f t="shared" si="0"/>
        <v>75.61904761904762</v>
      </c>
      <c r="V3" s="14">
        <f t="shared" si="0"/>
        <v>56.310517529215367</v>
      </c>
      <c r="W3" s="14">
        <f t="shared" si="0"/>
        <v>45.182842901569238</v>
      </c>
      <c r="X3" s="14">
        <f t="shared" si="0"/>
        <v>86.676646706586837</v>
      </c>
      <c r="Y3" s="14">
        <f t="shared" si="0"/>
        <v>48.780951899653267</v>
      </c>
      <c r="Z3" s="14">
        <f t="shared" si="0"/>
        <v>58.151649707256624</v>
      </c>
      <c r="AA3" s="14">
        <f t="shared" si="0"/>
        <v>56.418643062944255</v>
      </c>
      <c r="AB3" s="14">
        <f t="shared" si="0"/>
        <v>43.498171881560886</v>
      </c>
      <c r="AC3" s="14">
        <f t="shared" si="0"/>
        <v>78.110899842159426</v>
      </c>
      <c r="AD3" s="14">
        <f t="shared" si="0"/>
        <v>24.540901502504166</v>
      </c>
    </row>
    <row r="4" spans="1:30" ht="21.75">
      <c r="A4" s="15" t="s">
        <v>42</v>
      </c>
      <c r="B4" s="12">
        <v>66.120002746582031</v>
      </c>
      <c r="C4" s="12">
        <v>0.75800000000000001</v>
      </c>
      <c r="D4" s="12">
        <v>2.1659999999999999</v>
      </c>
      <c r="E4" s="196">
        <v>53.3</v>
      </c>
      <c r="F4" s="12">
        <v>6.0330000000000004</v>
      </c>
      <c r="G4" s="196">
        <v>-0.36288855000000003</v>
      </c>
      <c r="H4" s="196">
        <v>77.900000000000006</v>
      </c>
      <c r="I4" s="196">
        <v>5.1238999366760254</v>
      </c>
      <c r="J4" s="196">
        <v>60.755682084599997</v>
      </c>
      <c r="K4" s="32">
        <v>5.3129271980274044</v>
      </c>
      <c r="L4" s="195">
        <v>69.858787899833459</v>
      </c>
      <c r="M4" s="196">
        <v>73.901117221553235</v>
      </c>
      <c r="N4" s="196">
        <v>37.299999999999997</v>
      </c>
    </row>
    <row r="5" spans="1:30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30">
      <c r="A6" s="14" t="s">
        <v>19</v>
      </c>
      <c r="B6" s="20">
        <v>100</v>
      </c>
      <c r="C6" s="20">
        <v>1</v>
      </c>
      <c r="D6" s="20">
        <v>1</v>
      </c>
      <c r="E6" s="20">
        <v>100</v>
      </c>
      <c r="F6" s="20">
        <v>10</v>
      </c>
      <c r="G6" s="20">
        <v>2.5</v>
      </c>
      <c r="H6" s="20">
        <v>100</v>
      </c>
      <c r="I6" s="20">
        <v>10</v>
      </c>
      <c r="J6" s="20">
        <v>100</v>
      </c>
      <c r="K6" s="20">
        <v>1</v>
      </c>
      <c r="L6" s="20">
        <v>120</v>
      </c>
      <c r="M6" s="20">
        <v>100</v>
      </c>
      <c r="N6" s="20">
        <v>100</v>
      </c>
    </row>
    <row r="7" spans="1:30">
      <c r="A7" s="14" t="s">
        <v>18</v>
      </c>
      <c r="B7" s="21">
        <v>0</v>
      </c>
      <c r="C7" s="20">
        <v>0</v>
      </c>
      <c r="D7" s="20">
        <v>5</v>
      </c>
      <c r="E7" s="20">
        <v>0</v>
      </c>
      <c r="F7" s="20">
        <v>0</v>
      </c>
      <c r="G7" s="20">
        <v>-2.5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</row>
    <row r="8" spans="1:30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30">
      <c r="A9" s="14" t="s">
        <v>21</v>
      </c>
      <c r="B9" s="20">
        <v>92.73</v>
      </c>
      <c r="C9" s="20">
        <v>0.95699999999999996</v>
      </c>
      <c r="D9" s="20">
        <v>1.0780000000000001</v>
      </c>
      <c r="E9" s="20">
        <v>66.099999999999994</v>
      </c>
      <c r="F9" s="20">
        <v>8.65</v>
      </c>
      <c r="G9" s="20">
        <v>1.7805500000000001</v>
      </c>
      <c r="H9" s="20">
        <v>86.8</v>
      </c>
      <c r="I9" s="20">
        <v>7.8087</v>
      </c>
      <c r="J9" s="20">
        <v>84.4</v>
      </c>
      <c r="K9" s="20">
        <v>1.87</v>
      </c>
      <c r="L9" s="20">
        <v>14.6</v>
      </c>
      <c r="M9" s="20">
        <v>84.78</v>
      </c>
      <c r="N9" s="20">
        <v>82.5</v>
      </c>
    </row>
    <row r="10" spans="1:30">
      <c r="A10" s="14" t="s">
        <v>22</v>
      </c>
      <c r="B10" s="20">
        <v>31.06</v>
      </c>
      <c r="C10" s="20">
        <v>0.39400000000000002</v>
      </c>
      <c r="D10" s="20">
        <v>3.6440000000000001</v>
      </c>
      <c r="E10" s="20">
        <v>13.6</v>
      </c>
      <c r="F10" s="20">
        <v>2.66</v>
      </c>
      <c r="G10" s="20">
        <v>-2.12961</v>
      </c>
      <c r="H10" s="20">
        <v>20</v>
      </c>
      <c r="I10" s="20">
        <v>2.5669</v>
      </c>
      <c r="J10" s="20">
        <v>27.9</v>
      </c>
      <c r="K10" s="20">
        <v>9.77</v>
      </c>
      <c r="L10" s="20">
        <v>112.4</v>
      </c>
      <c r="M10" s="20">
        <v>35.08</v>
      </c>
      <c r="N10" s="20">
        <v>22.6</v>
      </c>
    </row>
    <row r="11" spans="1:30">
      <c r="A11" s="14" t="s">
        <v>23</v>
      </c>
      <c r="B11" s="22">
        <f>B9</f>
        <v>92.73</v>
      </c>
      <c r="C11" s="22">
        <f>C9*100</f>
        <v>95.7</v>
      </c>
      <c r="D11" s="22">
        <f>(4-(D9-1))*25</f>
        <v>98.05</v>
      </c>
      <c r="E11" s="22">
        <f>E9</f>
        <v>66.099999999999994</v>
      </c>
      <c r="F11" s="22">
        <f>F9*10</f>
        <v>86.5</v>
      </c>
      <c r="G11" s="22">
        <f>(G9+2.5)*20</f>
        <v>85.61099999999999</v>
      </c>
      <c r="H11" s="22">
        <f>H9</f>
        <v>86.8</v>
      </c>
      <c r="I11" s="22">
        <f>I9*10</f>
        <v>78.087000000000003</v>
      </c>
      <c r="J11" s="22">
        <f>J9</f>
        <v>84.4</v>
      </c>
      <c r="K11" s="22">
        <f>(10-K9)*100/10</f>
        <v>81.299999999999983</v>
      </c>
      <c r="L11" s="22">
        <f>100-(100*L9/120)</f>
        <v>87.833333333333329</v>
      </c>
      <c r="M11" s="22">
        <f>M9</f>
        <v>84.78</v>
      </c>
      <c r="N11" s="22">
        <f>N9</f>
        <v>82.5</v>
      </c>
      <c r="O11" s="7" t="s">
        <v>35</v>
      </c>
    </row>
    <row r="12" spans="1:30">
      <c r="A12" s="14" t="s">
        <v>24</v>
      </c>
      <c r="B12" s="22">
        <f>B10</f>
        <v>31.06</v>
      </c>
      <c r="C12" s="22">
        <f>C10*100</f>
        <v>39.4</v>
      </c>
      <c r="D12" s="22">
        <f>(4-(D10-1))*25</f>
        <v>33.9</v>
      </c>
      <c r="E12" s="22">
        <f>E10</f>
        <v>13.6</v>
      </c>
      <c r="F12" s="22">
        <f>F10*10</f>
        <v>26.6</v>
      </c>
      <c r="G12" s="22">
        <f>(G10+2.5)*20</f>
        <v>7.4077999999999999</v>
      </c>
      <c r="H12" s="22">
        <f>H10</f>
        <v>20</v>
      </c>
      <c r="I12" s="22">
        <f>I10*10</f>
        <v>25.669</v>
      </c>
      <c r="J12" s="22">
        <f>J10</f>
        <v>27.9</v>
      </c>
      <c r="K12" s="22">
        <f>(10-K10)*100/10</f>
        <v>2.3000000000000043</v>
      </c>
      <c r="L12" s="22">
        <f>100-(100*L10/120)</f>
        <v>6.3333333333333286</v>
      </c>
      <c r="M12" s="22">
        <f>M10</f>
        <v>35.08</v>
      </c>
      <c r="N12" s="22">
        <f>N10</f>
        <v>22.6</v>
      </c>
      <c r="O12" s="7" t="s">
        <v>35</v>
      </c>
    </row>
    <row r="13" spans="1:30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30">
      <c r="A14" s="8" t="s">
        <v>35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30">
      <c r="A15" s="6" t="s">
        <v>2</v>
      </c>
      <c r="B15" s="22">
        <f>B3</f>
        <v>67.5</v>
      </c>
      <c r="C15" s="22">
        <f>C3*100</f>
        <v>78.3</v>
      </c>
      <c r="D15" s="22">
        <f>(5-D3)*25</f>
        <v>58.199999999999996</v>
      </c>
      <c r="E15" s="22">
        <f>E3</f>
        <v>30.9</v>
      </c>
      <c r="F15" s="22">
        <f>F3*10</f>
        <v>42.5</v>
      </c>
      <c r="G15" s="22">
        <f>(G3+2.5)*20</f>
        <v>27</v>
      </c>
      <c r="H15" s="22">
        <f>H3</f>
        <v>58.5</v>
      </c>
      <c r="I15" s="22">
        <f>I3*10</f>
        <v>46.72</v>
      </c>
      <c r="J15" s="22">
        <f>J3</f>
        <v>48.1</v>
      </c>
      <c r="K15" s="22">
        <f>(10-K3)*100/10</f>
        <v>15.090536704505606</v>
      </c>
      <c r="L15" s="22">
        <f>100-(100*L3/120)</f>
        <v>30.5</v>
      </c>
      <c r="M15" s="22">
        <f>M3</f>
        <v>52.965924687079784</v>
      </c>
      <c r="N15" s="22">
        <f>N3</f>
        <v>48</v>
      </c>
    </row>
    <row r="16" spans="1:30">
      <c r="A16" s="6" t="s">
        <v>42</v>
      </c>
      <c r="B16" s="22">
        <f>B4</f>
        <v>66.120002746582031</v>
      </c>
      <c r="C16" s="22">
        <f>C4*100</f>
        <v>75.8</v>
      </c>
      <c r="D16" s="22">
        <f>(5-D4)*25</f>
        <v>70.850000000000009</v>
      </c>
      <c r="E16" s="22">
        <f>E4</f>
        <v>53.3</v>
      </c>
      <c r="F16" s="22">
        <f>F4*10</f>
        <v>60.330000000000005</v>
      </c>
      <c r="G16" s="22">
        <f>(G4+2.5)*20</f>
        <v>42.742228999999995</v>
      </c>
      <c r="H16" s="22">
        <f>H4</f>
        <v>77.900000000000006</v>
      </c>
      <c r="I16" s="22">
        <f>I4*10</f>
        <v>51.238999366760254</v>
      </c>
      <c r="J16" s="22">
        <f>J4</f>
        <v>60.755682084599997</v>
      </c>
      <c r="K16" s="22">
        <f>(10-K4)*100/10</f>
        <v>46.870728019725952</v>
      </c>
      <c r="L16" s="22">
        <f>100-(100*L4/120)</f>
        <v>41.784343416805449</v>
      </c>
      <c r="M16" s="22">
        <f>M4</f>
        <v>73.901117221553235</v>
      </c>
      <c r="N16" s="22">
        <f>N4</f>
        <v>37.299999999999997</v>
      </c>
    </row>
    <row r="18" spans="1:31" ht="21.75">
      <c r="A18" s="9" t="s">
        <v>36</v>
      </c>
      <c r="B18" s="25" t="s">
        <v>40</v>
      </c>
      <c r="C18" s="25" t="s">
        <v>11</v>
      </c>
      <c r="D18" s="25" t="s">
        <v>12</v>
      </c>
      <c r="E18" s="25" t="s">
        <v>13</v>
      </c>
      <c r="F18" s="25" t="s">
        <v>14</v>
      </c>
      <c r="G18" s="25" t="s">
        <v>15</v>
      </c>
      <c r="H18" s="25" t="s">
        <v>44</v>
      </c>
      <c r="I18" s="25" t="s">
        <v>16</v>
      </c>
      <c r="J18" s="25" t="s">
        <v>20</v>
      </c>
      <c r="K18" s="25" t="s">
        <v>37</v>
      </c>
      <c r="L18" s="25" t="s">
        <v>38</v>
      </c>
      <c r="M18" s="25" t="s">
        <v>32</v>
      </c>
      <c r="N18" s="25" t="s">
        <v>33</v>
      </c>
    </row>
    <row r="19" spans="1:31">
      <c r="A19" s="8" t="s">
        <v>17</v>
      </c>
      <c r="B19" s="8">
        <f t="shared" ref="B19:N19" si="1">(B15-B12)*100/(B11-B12)</f>
        <v>59.088697908221178</v>
      </c>
      <c r="C19" s="8">
        <f t="shared" si="1"/>
        <v>69.094138543516863</v>
      </c>
      <c r="D19" s="8">
        <f t="shared" si="1"/>
        <v>37.879968823070918</v>
      </c>
      <c r="E19" s="8">
        <f t="shared" si="1"/>
        <v>32.952380952380949</v>
      </c>
      <c r="F19" s="8">
        <f t="shared" si="1"/>
        <v>26.544240400667775</v>
      </c>
      <c r="G19" s="8">
        <f t="shared" si="1"/>
        <v>25.05293901016838</v>
      </c>
      <c r="H19" s="8">
        <f t="shared" si="1"/>
        <v>57.634730538922156</v>
      </c>
      <c r="I19" s="8">
        <f t="shared" si="1"/>
        <v>40.159868747376848</v>
      </c>
      <c r="J19" s="8">
        <f t="shared" si="1"/>
        <v>35.752212389380531</v>
      </c>
      <c r="K19" s="8">
        <f t="shared" si="1"/>
        <v>16.190552790513426</v>
      </c>
      <c r="L19" s="8">
        <f t="shared" si="1"/>
        <v>29.652351738241311</v>
      </c>
      <c r="M19" s="8">
        <f t="shared" si="1"/>
        <v>35.987776030341621</v>
      </c>
      <c r="N19" s="8">
        <f t="shared" si="1"/>
        <v>42.404006677796325</v>
      </c>
    </row>
    <row r="20" spans="1:31">
      <c r="A20" s="8" t="s">
        <v>42</v>
      </c>
      <c r="B20" s="8">
        <f>(B16-B10)*100/(B9-B10)</f>
        <v>56.850985481728607</v>
      </c>
      <c r="C20" s="8">
        <f>(C16-C12)*100/(C11-C12)</f>
        <v>64.653641207815269</v>
      </c>
      <c r="D20" s="8">
        <f>(D16-D12)*100/(D11-D12)</f>
        <v>57.599376461418558</v>
      </c>
      <c r="E20" s="8">
        <f>(E16-E12)*100/(E11-E12)</f>
        <v>75.61904761904762</v>
      </c>
      <c r="F20" s="8">
        <f>(F16-F12)*100/(F11-F12)</f>
        <v>56.310517529215367</v>
      </c>
      <c r="G20" s="8">
        <f t="shared" ref="G20:N20" si="2">(G16-G12)*100/(G11-G12)</f>
        <v>45.182842901569238</v>
      </c>
      <c r="H20" s="8">
        <f t="shared" si="2"/>
        <v>86.676646706586837</v>
      </c>
      <c r="I20" s="8">
        <f t="shared" si="2"/>
        <v>48.780951899653267</v>
      </c>
      <c r="J20" s="8">
        <f t="shared" si="2"/>
        <v>58.151649707256624</v>
      </c>
      <c r="K20" s="8">
        <f>(K16-K12)*100/(K11-K12)</f>
        <v>56.418643062944255</v>
      </c>
      <c r="L20" s="8">
        <f t="shared" si="2"/>
        <v>43.498171881560886</v>
      </c>
      <c r="M20" s="8">
        <f t="shared" si="2"/>
        <v>78.110899842159426</v>
      </c>
      <c r="N20" s="8">
        <f t="shared" si="2"/>
        <v>24.540901502504166</v>
      </c>
    </row>
    <row r="22" spans="1:31">
      <c r="A22" s="23"/>
      <c r="B22" s="7" t="s">
        <v>93</v>
      </c>
      <c r="C22" s="27" t="s">
        <v>52</v>
      </c>
    </row>
    <row r="23" spans="1:31">
      <c r="A23" s="1" t="s">
        <v>2</v>
      </c>
      <c r="B23" s="1">
        <f>AVERAGE(B19:N19)</f>
        <v>39.10722035004602</v>
      </c>
      <c r="C23" s="27">
        <f>C31</f>
        <v>24.73841091920205</v>
      </c>
    </row>
    <row r="24" spans="1:31">
      <c r="A24" s="1" t="s">
        <v>42</v>
      </c>
      <c r="B24" s="1">
        <f>AVERAGE(B20:N20)</f>
        <v>57.876482754112317</v>
      </c>
      <c r="C24" s="27">
        <f>C32</f>
        <v>42.267695210669814</v>
      </c>
    </row>
    <row r="25" spans="1:31">
      <c r="M25" s="7" t="s">
        <v>39</v>
      </c>
    </row>
    <row r="26" spans="1:31">
      <c r="D26" s="27" t="s">
        <v>51</v>
      </c>
    </row>
    <row r="27" spans="1:31">
      <c r="A27" s="27" t="s">
        <v>45</v>
      </c>
      <c r="B27" s="27">
        <f>(B19-$B$23)^2+(C19-$B$23)^2+(D19-$B$23)^2+(E19-$B$23)^2+(F19-$B$23)^2+(G19-$B$23)^2+(H19-$B$23)^2+(I19-$B$23)^2+(J19-$B$23)^2+(K19-$B$23)^2+(L19-$B$23)^2+(M19-$B$23)^2+(N19-$B$23)^2</f>
        <v>2684.0148979788382</v>
      </c>
      <c r="C27" s="27">
        <f>(B27/13)^0.5</f>
        <v>14.368809430843971</v>
      </c>
      <c r="D27" s="1">
        <f>C27/B23</f>
        <v>0.36742088295280906</v>
      </c>
    </row>
    <row r="28" spans="1:31">
      <c r="A28" s="27" t="s">
        <v>48</v>
      </c>
      <c r="B28" s="27">
        <f>(B20-$B$24)^2+(C20-$B$24)^2+(D20-$B$24)^2+(E20-$B$24)^2+(F20-$B$24)^2+(G20-$B$24)^2+(H20-$B$24)^2+(I20-$B$24)^2+(J20-$B$24)^2+(K20-$B$24)^2+(L20-$B$24)^2+(M20-$B$24)^2+(N20-$B$24)^2</f>
        <v>3167.2452314922366</v>
      </c>
      <c r="C28" s="27">
        <f>(B28/13)^0.5</f>
        <v>15.608787543442505</v>
      </c>
      <c r="D28" s="1">
        <f>C28/B24</f>
        <v>0.26969136341191102</v>
      </c>
    </row>
    <row r="30" spans="1:31">
      <c r="A30" s="27" t="s">
        <v>52</v>
      </c>
      <c r="B30" s="27"/>
      <c r="C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</row>
    <row r="31" spans="1:31" ht="21.75">
      <c r="A31" s="27" t="s">
        <v>2</v>
      </c>
      <c r="B31" s="27">
        <f>B23/D27</f>
        <v>106.43711929424786</v>
      </c>
      <c r="C31" s="27">
        <f>(1-D27)*B23</f>
        <v>24.73841091920205</v>
      </c>
      <c r="Q31" s="9"/>
      <c r="R31" s="25" t="s">
        <v>40</v>
      </c>
      <c r="S31" s="25" t="s">
        <v>11</v>
      </c>
      <c r="T31" s="25" t="s">
        <v>12</v>
      </c>
      <c r="U31" s="25" t="s">
        <v>13</v>
      </c>
      <c r="V31" s="25" t="s">
        <v>14</v>
      </c>
      <c r="W31" s="25" t="s">
        <v>15</v>
      </c>
      <c r="X31" s="25" t="s">
        <v>44</v>
      </c>
      <c r="Y31" s="25" t="s">
        <v>16</v>
      </c>
      <c r="Z31" s="25" t="s">
        <v>20</v>
      </c>
      <c r="AA31" s="25" t="s">
        <v>37</v>
      </c>
      <c r="AB31" s="25" t="s">
        <v>38</v>
      </c>
      <c r="AC31" s="25" t="s">
        <v>32</v>
      </c>
      <c r="AD31" s="25" t="s">
        <v>33</v>
      </c>
      <c r="AE31" s="27"/>
    </row>
    <row r="32" spans="1:31">
      <c r="A32" s="27" t="s">
        <v>42</v>
      </c>
      <c r="B32" s="27">
        <f>B24/D28</f>
        <v>214.60265550185645</v>
      </c>
      <c r="C32" s="27">
        <f>(1-D28)*B24</f>
        <v>42.267695210669814</v>
      </c>
      <c r="Q32" s="14" t="s">
        <v>23</v>
      </c>
      <c r="R32" s="32">
        <f>B11</f>
        <v>92.73</v>
      </c>
      <c r="S32" s="32">
        <f t="shared" ref="S32:AC32" si="3">C11</f>
        <v>95.7</v>
      </c>
      <c r="T32" s="32">
        <f t="shared" si="3"/>
        <v>98.05</v>
      </c>
      <c r="U32" s="32">
        <f t="shared" si="3"/>
        <v>66.099999999999994</v>
      </c>
      <c r="V32" s="32">
        <f t="shared" si="3"/>
        <v>86.5</v>
      </c>
      <c r="W32" s="32">
        <f t="shared" si="3"/>
        <v>85.61099999999999</v>
      </c>
      <c r="X32" s="32">
        <f t="shared" si="3"/>
        <v>86.8</v>
      </c>
      <c r="Y32" s="32">
        <f t="shared" si="3"/>
        <v>78.087000000000003</v>
      </c>
      <c r="Z32" s="32">
        <f t="shared" si="3"/>
        <v>84.4</v>
      </c>
      <c r="AA32" s="32">
        <f t="shared" si="3"/>
        <v>81.299999999999983</v>
      </c>
      <c r="AB32" s="32">
        <f t="shared" si="3"/>
        <v>87.833333333333329</v>
      </c>
      <c r="AC32" s="32">
        <f t="shared" si="3"/>
        <v>84.78</v>
      </c>
      <c r="AD32" s="32">
        <f>N11</f>
        <v>82.5</v>
      </c>
      <c r="AE32" s="27"/>
    </row>
    <row r="33" spans="17:31">
      <c r="Q33" s="32" t="s">
        <v>2</v>
      </c>
      <c r="R33" s="32">
        <f>B15</f>
        <v>67.5</v>
      </c>
      <c r="S33" s="32">
        <f t="shared" ref="S33:AD33" si="4">C15</f>
        <v>78.3</v>
      </c>
      <c r="T33" s="32">
        <f t="shared" si="4"/>
        <v>58.199999999999996</v>
      </c>
      <c r="U33" s="32">
        <f t="shared" si="4"/>
        <v>30.9</v>
      </c>
      <c r="V33" s="32">
        <f t="shared" si="4"/>
        <v>42.5</v>
      </c>
      <c r="W33" s="32">
        <f t="shared" si="4"/>
        <v>27</v>
      </c>
      <c r="X33" s="32">
        <f t="shared" si="4"/>
        <v>58.5</v>
      </c>
      <c r="Y33" s="32">
        <f t="shared" si="4"/>
        <v>46.72</v>
      </c>
      <c r="Z33" s="32">
        <f t="shared" si="4"/>
        <v>48.1</v>
      </c>
      <c r="AA33" s="32">
        <f t="shared" si="4"/>
        <v>15.090536704505606</v>
      </c>
      <c r="AB33" s="32">
        <f t="shared" si="4"/>
        <v>30.5</v>
      </c>
      <c r="AC33" s="32">
        <f t="shared" si="4"/>
        <v>52.965924687079784</v>
      </c>
      <c r="AD33" s="32">
        <f t="shared" si="4"/>
        <v>48</v>
      </c>
      <c r="AE33" s="27"/>
    </row>
    <row r="34" spans="17:31">
      <c r="Q34" s="14" t="s">
        <v>42</v>
      </c>
      <c r="R34" s="32">
        <f>B16</f>
        <v>66.120002746582031</v>
      </c>
      <c r="S34" s="32">
        <f t="shared" ref="S34:AD34" si="5">C16</f>
        <v>75.8</v>
      </c>
      <c r="T34" s="32">
        <f t="shared" si="5"/>
        <v>70.850000000000009</v>
      </c>
      <c r="U34" s="32">
        <f t="shared" si="5"/>
        <v>53.3</v>
      </c>
      <c r="V34" s="32">
        <f t="shared" si="5"/>
        <v>60.330000000000005</v>
      </c>
      <c r="W34" s="32">
        <f t="shared" si="5"/>
        <v>42.742228999999995</v>
      </c>
      <c r="X34" s="32">
        <f t="shared" si="5"/>
        <v>77.900000000000006</v>
      </c>
      <c r="Y34" s="32">
        <f t="shared" si="5"/>
        <v>51.238999366760254</v>
      </c>
      <c r="Z34" s="32">
        <f t="shared" si="5"/>
        <v>60.755682084599997</v>
      </c>
      <c r="AA34" s="32">
        <f t="shared" si="5"/>
        <v>46.870728019725952</v>
      </c>
      <c r="AB34" s="32">
        <f t="shared" si="5"/>
        <v>41.784343416805449</v>
      </c>
      <c r="AC34" s="32">
        <f t="shared" si="5"/>
        <v>73.901117221553235</v>
      </c>
      <c r="AD34" s="32">
        <f t="shared" si="5"/>
        <v>37.299999999999997</v>
      </c>
      <c r="AE34" s="27"/>
    </row>
    <row r="35" spans="17:31"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17:31">
      <c r="AE36" s="27"/>
    </row>
  </sheetData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36"/>
  <sheetViews>
    <sheetView topLeftCell="I37" workbookViewId="0">
      <selection activeCell="U58" sqref="U58"/>
    </sheetView>
  </sheetViews>
  <sheetFormatPr defaultColWidth="9.140625" defaultRowHeight="15"/>
  <cols>
    <col min="1" max="1" width="12" style="7" customWidth="1"/>
    <col min="2" max="2" width="12.5703125" style="7" customWidth="1"/>
    <col min="3" max="3" width="13.140625" style="7" customWidth="1"/>
    <col min="4" max="4" width="9.140625" style="7"/>
    <col min="5" max="5" width="13.42578125" style="7" customWidth="1"/>
    <col min="6" max="14" width="9.140625" style="7"/>
    <col min="15" max="15" width="11.85546875" style="7" customWidth="1"/>
    <col min="16" max="16384" width="9.140625" style="7"/>
  </cols>
  <sheetData>
    <row r="1" spans="1:30" ht="22.5">
      <c r="A1" s="13">
        <v>2018</v>
      </c>
      <c r="B1" s="16" t="s">
        <v>40</v>
      </c>
      <c r="C1" s="16" t="s">
        <v>11</v>
      </c>
      <c r="D1" s="24" t="s">
        <v>12</v>
      </c>
      <c r="E1" s="16" t="s">
        <v>13</v>
      </c>
      <c r="F1" s="16" t="s">
        <v>14</v>
      </c>
      <c r="G1" s="16" t="s">
        <v>15</v>
      </c>
      <c r="H1" s="16" t="s">
        <v>25</v>
      </c>
      <c r="I1" s="16" t="s">
        <v>16</v>
      </c>
      <c r="J1" s="16" t="s">
        <v>20</v>
      </c>
      <c r="K1" s="24" t="s">
        <v>30</v>
      </c>
      <c r="L1" s="24" t="s">
        <v>31</v>
      </c>
      <c r="M1" s="16" t="s">
        <v>32</v>
      </c>
      <c r="N1" s="16" t="s">
        <v>33</v>
      </c>
      <c r="Q1" s="9"/>
      <c r="R1" s="28" t="s">
        <v>40</v>
      </c>
      <c r="S1" s="28" t="s">
        <v>11</v>
      </c>
      <c r="T1" s="28" t="s">
        <v>12</v>
      </c>
      <c r="U1" s="28" t="s">
        <v>13</v>
      </c>
      <c r="V1" s="28" t="s">
        <v>14</v>
      </c>
      <c r="W1" s="28" t="s">
        <v>15</v>
      </c>
      <c r="X1" s="28" t="s">
        <v>44</v>
      </c>
      <c r="Y1" s="28" t="s">
        <v>16</v>
      </c>
      <c r="Z1" s="28" t="s">
        <v>20</v>
      </c>
      <c r="AA1" s="28" t="s">
        <v>37</v>
      </c>
      <c r="AB1" s="28" t="s">
        <v>38</v>
      </c>
      <c r="AC1" s="28" t="s">
        <v>32</v>
      </c>
      <c r="AD1" s="28" t="s">
        <v>33</v>
      </c>
    </row>
    <row r="2" spans="1:30" ht="21.75">
      <c r="A2" s="17" t="s">
        <v>34</v>
      </c>
      <c r="B2" s="29">
        <v>7.8703703703703692E-2</v>
      </c>
      <c r="C2" s="29">
        <v>5.3240740740740734E-2</v>
      </c>
      <c r="D2" s="29">
        <v>7.1759259259259259E-2</v>
      </c>
      <c r="E2" s="29">
        <v>6.25E-2</v>
      </c>
      <c r="F2" s="29">
        <v>9.0277777777777776E-2</v>
      </c>
      <c r="G2" s="29">
        <v>0.10185185185185186</v>
      </c>
      <c r="H2" s="29">
        <v>9.0277777777777776E-2</v>
      </c>
      <c r="I2" s="29">
        <v>4.6296296296296294E-2</v>
      </c>
      <c r="J2" s="29">
        <v>9.4907407407407399E-2</v>
      </c>
      <c r="K2" s="29">
        <v>7.407407407407407E-2</v>
      </c>
      <c r="L2" s="29">
        <v>7.1759259259259259E-2</v>
      </c>
      <c r="M2" s="29">
        <v>8.3333333333333329E-2</v>
      </c>
      <c r="N2" s="29">
        <v>8.1018518518518517E-2</v>
      </c>
      <c r="Q2" s="14" t="s">
        <v>2</v>
      </c>
      <c r="R2" s="14">
        <f t="shared" ref="R2:AD3" si="0">B19</f>
        <v>59.088697908221178</v>
      </c>
      <c r="S2" s="14">
        <f t="shared" si="0"/>
        <v>69.094138543516863</v>
      </c>
      <c r="T2" s="14">
        <f t="shared" si="0"/>
        <v>37.879968823070918</v>
      </c>
      <c r="U2" s="14">
        <f t="shared" si="0"/>
        <v>32.952380952380949</v>
      </c>
      <c r="V2" s="14">
        <f t="shared" si="0"/>
        <v>26.544240400667775</v>
      </c>
      <c r="W2" s="14">
        <f t="shared" si="0"/>
        <v>25.05293901016838</v>
      </c>
      <c r="X2" s="14">
        <f t="shared" si="0"/>
        <v>57.634730538922156</v>
      </c>
      <c r="Y2" s="14">
        <f t="shared" si="0"/>
        <v>40.159868747376848</v>
      </c>
      <c r="Z2" s="14">
        <f t="shared" si="0"/>
        <v>35.752212389380531</v>
      </c>
      <c r="AA2" s="14">
        <f t="shared" si="0"/>
        <v>16.190552790513426</v>
      </c>
      <c r="AB2" s="14">
        <f t="shared" si="0"/>
        <v>29.652351738241311</v>
      </c>
      <c r="AC2" s="14">
        <f t="shared" si="0"/>
        <v>35.987776030341621</v>
      </c>
      <c r="AD2" s="14">
        <f t="shared" si="0"/>
        <v>42.404006677796325</v>
      </c>
    </row>
    <row r="3" spans="1:30" ht="21.75">
      <c r="A3" s="15" t="s">
        <v>2</v>
      </c>
      <c r="B3" s="173">
        <v>67.5</v>
      </c>
      <c r="C3" s="173">
        <v>0.78300000000000003</v>
      </c>
      <c r="D3" s="173">
        <v>2.6720000000000002</v>
      </c>
      <c r="E3" s="173">
        <v>30.9</v>
      </c>
      <c r="F3" s="173">
        <v>4.25</v>
      </c>
      <c r="G3" s="173">
        <v>-1.1499999999999999</v>
      </c>
      <c r="H3" s="173">
        <v>58.5</v>
      </c>
      <c r="I3" s="173">
        <v>4.6719999999999997</v>
      </c>
      <c r="J3" s="173">
        <v>48.1</v>
      </c>
      <c r="K3" s="173">
        <v>8.4909463295494394</v>
      </c>
      <c r="L3" s="173">
        <v>83.4</v>
      </c>
      <c r="M3" s="173">
        <v>52.965924687079784</v>
      </c>
      <c r="N3" s="173">
        <v>48</v>
      </c>
      <c r="Q3" s="14" t="s">
        <v>43</v>
      </c>
      <c r="R3" s="14">
        <f t="shared" si="0"/>
        <v>88.211446545277539</v>
      </c>
      <c r="S3" s="14">
        <f t="shared" si="0"/>
        <v>96.092362344582583</v>
      </c>
      <c r="T3" s="14">
        <f t="shared" si="0"/>
        <v>90.530007794232276</v>
      </c>
      <c r="U3" s="14">
        <f t="shared" si="0"/>
        <v>81.904761904761912</v>
      </c>
      <c r="V3" s="14">
        <f t="shared" si="0"/>
        <v>96.86143572621036</v>
      </c>
      <c r="W3" s="14">
        <f t="shared" si="0"/>
        <v>96.10176054176813</v>
      </c>
      <c r="X3" s="14">
        <f t="shared" si="0"/>
        <v>99.101796407185631</v>
      </c>
      <c r="Y3" s="14">
        <f t="shared" si="0"/>
        <v>72.688770858192342</v>
      </c>
      <c r="Z3" s="14">
        <f t="shared" si="0"/>
        <v>90.704342599646012</v>
      </c>
      <c r="AA3" s="14">
        <f t="shared" si="0"/>
        <v>97.086622038937975</v>
      </c>
      <c r="AB3" s="14">
        <f t="shared" si="0"/>
        <v>88.010025914350322</v>
      </c>
      <c r="AC3" s="14">
        <f t="shared" si="0"/>
        <v>63.767157008507972</v>
      </c>
      <c r="AD3" s="14">
        <f t="shared" si="0"/>
        <v>59.265442404006677</v>
      </c>
    </row>
    <row r="4" spans="1:30" ht="21.75">
      <c r="A4" s="15" t="s">
        <v>43</v>
      </c>
      <c r="B4" s="12">
        <v>85.459999084472656</v>
      </c>
      <c r="C4" s="12">
        <v>0.93500000000000005</v>
      </c>
      <c r="D4" s="12">
        <v>1.321</v>
      </c>
      <c r="E4" s="196">
        <v>56.6</v>
      </c>
      <c r="F4" s="12">
        <v>8.4619999999999997</v>
      </c>
      <c r="G4" s="196">
        <v>1.6281226</v>
      </c>
      <c r="H4" s="196">
        <v>86.2</v>
      </c>
      <c r="I4" s="196">
        <v>6.3770999908447266</v>
      </c>
      <c r="J4" s="196">
        <v>79.147953568800006</v>
      </c>
      <c r="K4" s="32">
        <v>2.1001568589239015</v>
      </c>
      <c r="L4" s="195">
        <v>26.326194655765399</v>
      </c>
      <c r="M4" s="196">
        <v>66.772277033228463</v>
      </c>
      <c r="N4" s="196">
        <v>58.1</v>
      </c>
    </row>
    <row r="5" spans="1:30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30">
      <c r="A6" s="14" t="s">
        <v>19</v>
      </c>
      <c r="B6" s="20">
        <v>100</v>
      </c>
      <c r="C6" s="20">
        <v>1</v>
      </c>
      <c r="D6" s="20">
        <v>1</v>
      </c>
      <c r="E6" s="20">
        <v>100</v>
      </c>
      <c r="F6" s="20">
        <v>10</v>
      </c>
      <c r="G6" s="20">
        <v>2.5</v>
      </c>
      <c r="H6" s="20">
        <v>100</v>
      </c>
      <c r="I6" s="20">
        <v>10</v>
      </c>
      <c r="J6" s="20">
        <v>100</v>
      </c>
      <c r="K6" s="20">
        <v>1</v>
      </c>
      <c r="L6" s="20">
        <v>120</v>
      </c>
      <c r="M6" s="20">
        <v>100</v>
      </c>
      <c r="N6" s="20">
        <v>100</v>
      </c>
    </row>
    <row r="7" spans="1:30">
      <c r="A7" s="14" t="s">
        <v>18</v>
      </c>
      <c r="B7" s="21">
        <v>0</v>
      </c>
      <c r="C7" s="20">
        <v>0</v>
      </c>
      <c r="D7" s="20">
        <v>5</v>
      </c>
      <c r="E7" s="20">
        <v>0</v>
      </c>
      <c r="F7" s="20">
        <v>0</v>
      </c>
      <c r="G7" s="20">
        <v>-2.5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</row>
    <row r="8" spans="1:30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30">
      <c r="A9" s="14" t="s">
        <v>21</v>
      </c>
      <c r="B9" s="20">
        <v>92.73</v>
      </c>
      <c r="C9" s="20">
        <v>0.95699999999999996</v>
      </c>
      <c r="D9" s="20">
        <v>1.0780000000000001</v>
      </c>
      <c r="E9" s="20">
        <v>66.099999999999994</v>
      </c>
      <c r="F9" s="20">
        <v>8.65</v>
      </c>
      <c r="G9" s="20">
        <v>1.7805500000000001</v>
      </c>
      <c r="H9" s="20">
        <v>86.8</v>
      </c>
      <c r="I9" s="20">
        <v>7.8087</v>
      </c>
      <c r="J9" s="20">
        <v>84.4</v>
      </c>
      <c r="K9" s="20">
        <v>1.87</v>
      </c>
      <c r="L9" s="20">
        <v>14.6</v>
      </c>
      <c r="M9" s="20">
        <v>84.78</v>
      </c>
      <c r="N9" s="20">
        <v>82.5</v>
      </c>
    </row>
    <row r="10" spans="1:30">
      <c r="A10" s="14" t="s">
        <v>22</v>
      </c>
      <c r="B10" s="20">
        <v>31.06</v>
      </c>
      <c r="C10" s="20">
        <v>0.39400000000000002</v>
      </c>
      <c r="D10" s="20">
        <v>3.6440000000000001</v>
      </c>
      <c r="E10" s="20">
        <v>13.6</v>
      </c>
      <c r="F10" s="20">
        <v>2.66</v>
      </c>
      <c r="G10" s="20">
        <v>-2.12961</v>
      </c>
      <c r="H10" s="20">
        <v>20</v>
      </c>
      <c r="I10" s="20">
        <v>2.5669</v>
      </c>
      <c r="J10" s="20">
        <v>27.9</v>
      </c>
      <c r="K10" s="20">
        <v>9.77</v>
      </c>
      <c r="L10" s="20">
        <v>112.4</v>
      </c>
      <c r="M10" s="20">
        <v>35.08</v>
      </c>
      <c r="N10" s="20">
        <v>22.6</v>
      </c>
    </row>
    <row r="11" spans="1:30">
      <c r="A11" s="14" t="s">
        <v>23</v>
      </c>
      <c r="B11" s="22">
        <f>B9</f>
        <v>92.73</v>
      </c>
      <c r="C11" s="22">
        <f>C9*100</f>
        <v>95.7</v>
      </c>
      <c r="D11" s="22">
        <f>(4-(D9-1))*25</f>
        <v>98.05</v>
      </c>
      <c r="E11" s="22">
        <f>E9</f>
        <v>66.099999999999994</v>
      </c>
      <c r="F11" s="22">
        <f>F9*10</f>
        <v>86.5</v>
      </c>
      <c r="G11" s="22">
        <f>(G9+2.5)*20</f>
        <v>85.61099999999999</v>
      </c>
      <c r="H11" s="22">
        <f>H9</f>
        <v>86.8</v>
      </c>
      <c r="I11" s="22">
        <f>I9*10</f>
        <v>78.087000000000003</v>
      </c>
      <c r="J11" s="22">
        <f>J9</f>
        <v>84.4</v>
      </c>
      <c r="K11" s="22">
        <f>(10-K9)*100/10</f>
        <v>81.299999999999983</v>
      </c>
      <c r="L11" s="22">
        <f>100-(100*L9/120)</f>
        <v>87.833333333333329</v>
      </c>
      <c r="M11" s="22">
        <f>M9</f>
        <v>84.78</v>
      </c>
      <c r="N11" s="22">
        <f>N9</f>
        <v>82.5</v>
      </c>
      <c r="O11" s="7" t="s">
        <v>35</v>
      </c>
    </row>
    <row r="12" spans="1:30">
      <c r="A12" s="14" t="s">
        <v>24</v>
      </c>
      <c r="B12" s="22">
        <f>B10</f>
        <v>31.06</v>
      </c>
      <c r="C12" s="22">
        <f>C10*100</f>
        <v>39.4</v>
      </c>
      <c r="D12" s="22">
        <f>(4-(D10-1))*25</f>
        <v>33.9</v>
      </c>
      <c r="E12" s="22">
        <f>E10</f>
        <v>13.6</v>
      </c>
      <c r="F12" s="22">
        <f>F10*10</f>
        <v>26.6</v>
      </c>
      <c r="G12" s="22">
        <f>(G10+2.5)*20</f>
        <v>7.4077999999999999</v>
      </c>
      <c r="H12" s="22">
        <f>H10</f>
        <v>20</v>
      </c>
      <c r="I12" s="22">
        <f>I10*10</f>
        <v>25.669</v>
      </c>
      <c r="J12" s="22">
        <f>J10</f>
        <v>27.9</v>
      </c>
      <c r="K12" s="22">
        <f>(10-K10)*100/10</f>
        <v>2.3000000000000043</v>
      </c>
      <c r="L12" s="22">
        <f>100-(100*L10/120)</f>
        <v>6.3333333333333286</v>
      </c>
      <c r="M12" s="22">
        <f>M10</f>
        <v>35.08</v>
      </c>
      <c r="N12" s="22">
        <f>N10</f>
        <v>22.6</v>
      </c>
      <c r="O12" s="7" t="s">
        <v>35</v>
      </c>
    </row>
    <row r="13" spans="1:30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30">
      <c r="A14" s="8" t="s">
        <v>35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30">
      <c r="A15" s="6" t="s">
        <v>2</v>
      </c>
      <c r="B15" s="22">
        <f>B3</f>
        <v>67.5</v>
      </c>
      <c r="C15" s="22">
        <f>C3*100</f>
        <v>78.3</v>
      </c>
      <c r="D15" s="22">
        <f>(5-D3)*25</f>
        <v>58.199999999999996</v>
      </c>
      <c r="E15" s="22">
        <f>E3</f>
        <v>30.9</v>
      </c>
      <c r="F15" s="22">
        <f>F3*10</f>
        <v>42.5</v>
      </c>
      <c r="G15" s="22">
        <f>(G3+2.5)*20</f>
        <v>27</v>
      </c>
      <c r="H15" s="22">
        <f>H3</f>
        <v>58.5</v>
      </c>
      <c r="I15" s="22">
        <f>I3*10</f>
        <v>46.72</v>
      </c>
      <c r="J15" s="22">
        <f>J3</f>
        <v>48.1</v>
      </c>
      <c r="K15" s="22">
        <f>(10-K3)*100/10</f>
        <v>15.090536704505606</v>
      </c>
      <c r="L15" s="22">
        <f>100-(100*L3/120)</f>
        <v>30.5</v>
      </c>
      <c r="M15" s="22">
        <f>M3</f>
        <v>52.965924687079784</v>
      </c>
      <c r="N15" s="22">
        <f>N3</f>
        <v>48</v>
      </c>
    </row>
    <row r="16" spans="1:30">
      <c r="A16" s="6" t="s">
        <v>43</v>
      </c>
      <c r="B16" s="22">
        <f>B4</f>
        <v>85.459999084472656</v>
      </c>
      <c r="C16" s="22">
        <f>C4*100</f>
        <v>93.5</v>
      </c>
      <c r="D16" s="22">
        <f>(5-D4)*25</f>
        <v>91.975000000000009</v>
      </c>
      <c r="E16" s="22">
        <f>E4</f>
        <v>56.6</v>
      </c>
      <c r="F16" s="22">
        <f>F4*10</f>
        <v>84.62</v>
      </c>
      <c r="G16" s="22">
        <f>(G4+2.5)*20</f>
        <v>82.562452000000008</v>
      </c>
      <c r="H16" s="22">
        <f>H4</f>
        <v>86.2</v>
      </c>
      <c r="I16" s="22">
        <f>I4*10</f>
        <v>63.770999908447266</v>
      </c>
      <c r="J16" s="22">
        <f>J4</f>
        <v>79.147953568800006</v>
      </c>
      <c r="K16" s="22">
        <f>(10-K4)*100/10</f>
        <v>78.998431410760986</v>
      </c>
      <c r="L16" s="22">
        <f>100-(100*L4/120)</f>
        <v>78.06150445352884</v>
      </c>
      <c r="M16" s="22">
        <f>M4</f>
        <v>66.772277033228463</v>
      </c>
      <c r="N16" s="22">
        <f>N4</f>
        <v>58.1</v>
      </c>
    </row>
    <row r="18" spans="1:31" ht="22.5">
      <c r="A18" s="9" t="s">
        <v>36</v>
      </c>
      <c r="B18" s="28" t="s">
        <v>40</v>
      </c>
      <c r="C18" s="28" t="s">
        <v>11</v>
      </c>
      <c r="D18" s="28" t="s">
        <v>12</v>
      </c>
      <c r="E18" s="28" t="s">
        <v>13</v>
      </c>
      <c r="F18" s="28" t="s">
        <v>14</v>
      </c>
      <c r="G18" s="28" t="s">
        <v>15</v>
      </c>
      <c r="H18" s="28" t="s">
        <v>44</v>
      </c>
      <c r="I18" s="28" t="s">
        <v>16</v>
      </c>
      <c r="J18" s="28" t="s">
        <v>20</v>
      </c>
      <c r="K18" s="28" t="s">
        <v>37</v>
      </c>
      <c r="L18" s="28" t="s">
        <v>38</v>
      </c>
      <c r="M18" s="28" t="s">
        <v>32</v>
      </c>
      <c r="N18" s="28" t="s">
        <v>33</v>
      </c>
    </row>
    <row r="19" spans="1:31">
      <c r="A19" s="8" t="s">
        <v>17</v>
      </c>
      <c r="B19" s="8">
        <f t="shared" ref="B19:N19" si="1">(B15-B12)*100/(B11-B12)</f>
        <v>59.088697908221178</v>
      </c>
      <c r="C19" s="8">
        <f t="shared" si="1"/>
        <v>69.094138543516863</v>
      </c>
      <c r="D19" s="8">
        <f t="shared" si="1"/>
        <v>37.879968823070918</v>
      </c>
      <c r="E19" s="8">
        <f t="shared" si="1"/>
        <v>32.952380952380949</v>
      </c>
      <c r="F19" s="8">
        <f t="shared" si="1"/>
        <v>26.544240400667775</v>
      </c>
      <c r="G19" s="8">
        <f t="shared" si="1"/>
        <v>25.05293901016838</v>
      </c>
      <c r="H19" s="8">
        <f t="shared" si="1"/>
        <v>57.634730538922156</v>
      </c>
      <c r="I19" s="8">
        <f t="shared" si="1"/>
        <v>40.159868747376848</v>
      </c>
      <c r="J19" s="8">
        <f t="shared" si="1"/>
        <v>35.752212389380531</v>
      </c>
      <c r="K19" s="8">
        <f t="shared" si="1"/>
        <v>16.190552790513426</v>
      </c>
      <c r="L19" s="8">
        <f t="shared" si="1"/>
        <v>29.652351738241311</v>
      </c>
      <c r="M19" s="8">
        <f t="shared" si="1"/>
        <v>35.987776030341621</v>
      </c>
      <c r="N19" s="8">
        <f t="shared" si="1"/>
        <v>42.404006677796325</v>
      </c>
    </row>
    <row r="20" spans="1:31">
      <c r="A20" s="8" t="s">
        <v>43</v>
      </c>
      <c r="B20" s="8">
        <f>(B16-B10)*100/(B9-B10)</f>
        <v>88.211446545277539</v>
      </c>
      <c r="C20" s="8">
        <f>(C16-C12)*100/(C11-C12)</f>
        <v>96.092362344582583</v>
      </c>
      <c r="D20" s="8">
        <f>(D16-D12)*100/(D11-D12)</f>
        <v>90.530007794232276</v>
      </c>
      <c r="E20" s="8">
        <f>(E16-E12)*100/(E11-E12)</f>
        <v>81.904761904761912</v>
      </c>
      <c r="F20" s="8">
        <f>(F16-F12)*100/(F11-F12)</f>
        <v>96.86143572621036</v>
      </c>
      <c r="G20" s="8">
        <f t="shared" ref="G20:N20" si="2">(G16-G12)*100/(G11-G12)</f>
        <v>96.10176054176813</v>
      </c>
      <c r="H20" s="8">
        <f t="shared" si="2"/>
        <v>99.101796407185631</v>
      </c>
      <c r="I20" s="8">
        <f t="shared" si="2"/>
        <v>72.688770858192342</v>
      </c>
      <c r="J20" s="8">
        <f t="shared" si="2"/>
        <v>90.704342599646012</v>
      </c>
      <c r="K20" s="8">
        <f>(K16-K12)*100/(K11-K12)</f>
        <v>97.086622038937975</v>
      </c>
      <c r="L20" s="8">
        <f t="shared" si="2"/>
        <v>88.010025914350322</v>
      </c>
      <c r="M20" s="8">
        <f t="shared" si="2"/>
        <v>63.767157008507972</v>
      </c>
      <c r="N20" s="8">
        <f t="shared" si="2"/>
        <v>59.265442404006677</v>
      </c>
    </row>
    <row r="22" spans="1:31">
      <c r="A22" s="23"/>
      <c r="B22" s="7" t="s">
        <v>93</v>
      </c>
      <c r="C22" s="7" t="s">
        <v>52</v>
      </c>
    </row>
    <row r="23" spans="1:31">
      <c r="A23" s="1" t="s">
        <v>2</v>
      </c>
      <c r="B23" s="33">
        <f>AVERAGE(B19:N19)</f>
        <v>39.10722035004602</v>
      </c>
      <c r="C23" s="34">
        <f>C31</f>
        <v>24.73841091920205</v>
      </c>
    </row>
    <row r="24" spans="1:31">
      <c r="A24" s="1" t="s">
        <v>43</v>
      </c>
      <c r="B24" s="33">
        <f>AVERAGE(B20:N20)</f>
        <v>86.178917852896902</v>
      </c>
      <c r="C24" s="34">
        <f>C32</f>
        <v>73.55840823287906</v>
      </c>
    </row>
    <row r="25" spans="1:31">
      <c r="M25" s="7" t="s">
        <v>39</v>
      </c>
    </row>
    <row r="26" spans="1:31">
      <c r="C26" s="7" t="s">
        <v>50</v>
      </c>
      <c r="D26" s="7" t="s">
        <v>51</v>
      </c>
    </row>
    <row r="27" spans="1:31">
      <c r="A27" s="27" t="s">
        <v>45</v>
      </c>
      <c r="B27" s="27">
        <f>(B19-$B$23)^2+(C19-$B$23)^2+(D19-$B$23)^2+(E19-$B$23)^2+(F19-$B$23)^2+(G19-$B$23)^2+(H19-$B$23)^2+(I19-$B$23)^2+(J19-$B$23)^2+(K19-$B$23)^2+(L19-$B$23)^2+(M19-$B$23)^2+(N19-$B$23)^2</f>
        <v>2684.0148979788382</v>
      </c>
      <c r="C27" s="7">
        <f>(B27/13)^0.5</f>
        <v>14.368809430843971</v>
      </c>
      <c r="D27" s="1">
        <f>C27/B23</f>
        <v>0.36742088295280906</v>
      </c>
    </row>
    <row r="28" spans="1:31">
      <c r="A28" s="27" t="s">
        <v>49</v>
      </c>
      <c r="B28" s="27">
        <f>(B20-$B$24)^2+(C20-$B$24)^2+(D20-$B$24)^2+(E20-$B$24)^2+(F20-$B$24)^2+(G20-$B$24)^2+(H20-$B$24)^2+(I20-$B$24)^2+(J20-$B$24)^2+(K20-$B$24)^2+(L20-$B$24)^2+(M20-$B$24)^2+(N20-$B$24)^2</f>
        <v>2070.6044198965183</v>
      </c>
      <c r="C28" s="27">
        <f>(B28/13)^0.5</f>
        <v>12.620509620017843</v>
      </c>
      <c r="D28" s="1">
        <f>C28/B24</f>
        <v>0.14644544088567488</v>
      </c>
    </row>
    <row r="29" spans="1:31" ht="16.5" customHeight="1">
      <c r="Q29" s="9"/>
      <c r="R29" s="25" t="s">
        <v>40</v>
      </c>
      <c r="S29" s="25" t="s">
        <v>11</v>
      </c>
      <c r="T29" s="25" t="s">
        <v>12</v>
      </c>
      <c r="U29" s="25" t="s">
        <v>13</v>
      </c>
      <c r="V29" s="25" t="s">
        <v>14</v>
      </c>
      <c r="W29" s="25" t="s">
        <v>15</v>
      </c>
      <c r="X29" s="25" t="s">
        <v>44</v>
      </c>
      <c r="Y29" s="25" t="s">
        <v>16</v>
      </c>
      <c r="Z29" s="25" t="s">
        <v>20</v>
      </c>
      <c r="AA29" s="25" t="s">
        <v>37</v>
      </c>
      <c r="AB29" s="25" t="s">
        <v>38</v>
      </c>
      <c r="AC29" s="25" t="s">
        <v>32</v>
      </c>
      <c r="AD29" s="25" t="s">
        <v>33</v>
      </c>
    </row>
    <row r="30" spans="1:31">
      <c r="A30" s="27" t="s">
        <v>52</v>
      </c>
      <c r="B30" s="27"/>
      <c r="C30" s="27"/>
      <c r="Q30" s="14" t="s">
        <v>23</v>
      </c>
      <c r="R30" s="32">
        <f>B11</f>
        <v>92.73</v>
      </c>
      <c r="S30" s="32">
        <f t="shared" ref="S30:AD30" si="3">C11</f>
        <v>95.7</v>
      </c>
      <c r="T30" s="32">
        <f t="shared" si="3"/>
        <v>98.05</v>
      </c>
      <c r="U30" s="32">
        <f t="shared" si="3"/>
        <v>66.099999999999994</v>
      </c>
      <c r="V30" s="32">
        <f t="shared" si="3"/>
        <v>86.5</v>
      </c>
      <c r="W30" s="32">
        <f t="shared" si="3"/>
        <v>85.61099999999999</v>
      </c>
      <c r="X30" s="32">
        <f t="shared" si="3"/>
        <v>86.8</v>
      </c>
      <c r="Y30" s="32">
        <f t="shared" si="3"/>
        <v>78.087000000000003</v>
      </c>
      <c r="Z30" s="32">
        <f t="shared" si="3"/>
        <v>84.4</v>
      </c>
      <c r="AA30" s="32">
        <f t="shared" si="3"/>
        <v>81.299999999999983</v>
      </c>
      <c r="AB30" s="32">
        <f t="shared" si="3"/>
        <v>87.833333333333329</v>
      </c>
      <c r="AC30" s="32">
        <f t="shared" si="3"/>
        <v>84.78</v>
      </c>
      <c r="AD30" s="32">
        <f t="shared" si="3"/>
        <v>82.5</v>
      </c>
    </row>
    <row r="31" spans="1:31">
      <c r="A31" s="27" t="s">
        <v>2</v>
      </c>
      <c r="B31" s="27">
        <f>B23/D27</f>
        <v>106.43711929424786</v>
      </c>
      <c r="C31" s="27">
        <f>(1-D27)*B23</f>
        <v>24.73841091920205</v>
      </c>
      <c r="P31" s="27"/>
      <c r="Q31" s="32" t="s">
        <v>2</v>
      </c>
      <c r="R31" s="32">
        <f>B15</f>
        <v>67.5</v>
      </c>
      <c r="S31" s="32">
        <f t="shared" ref="S31:AD32" si="4">C15</f>
        <v>78.3</v>
      </c>
      <c r="T31" s="32">
        <f t="shared" si="4"/>
        <v>58.199999999999996</v>
      </c>
      <c r="U31" s="32">
        <f t="shared" si="4"/>
        <v>30.9</v>
      </c>
      <c r="V31" s="32">
        <f t="shared" si="4"/>
        <v>42.5</v>
      </c>
      <c r="W31" s="32">
        <f t="shared" si="4"/>
        <v>27</v>
      </c>
      <c r="X31" s="32">
        <f t="shared" si="4"/>
        <v>58.5</v>
      </c>
      <c r="Y31" s="32">
        <f t="shared" si="4"/>
        <v>46.72</v>
      </c>
      <c r="Z31" s="32">
        <f t="shared" si="4"/>
        <v>48.1</v>
      </c>
      <c r="AA31" s="32">
        <f t="shared" si="4"/>
        <v>15.090536704505606</v>
      </c>
      <c r="AB31" s="32">
        <f t="shared" si="4"/>
        <v>30.5</v>
      </c>
      <c r="AC31" s="32">
        <f t="shared" si="4"/>
        <v>52.965924687079784</v>
      </c>
      <c r="AD31" s="32">
        <f t="shared" si="4"/>
        <v>48</v>
      </c>
      <c r="AE31" s="27"/>
    </row>
    <row r="32" spans="1:31">
      <c r="A32" s="27" t="s">
        <v>43</v>
      </c>
      <c r="B32" s="27">
        <f>B24/D28</f>
        <v>588.47115575399812</v>
      </c>
      <c r="C32" s="27">
        <f>(1-D28)*B24</f>
        <v>73.55840823287906</v>
      </c>
      <c r="P32" s="27"/>
      <c r="Q32" s="14" t="s">
        <v>43</v>
      </c>
      <c r="R32" s="32">
        <f>B16</f>
        <v>85.459999084472656</v>
      </c>
      <c r="S32" s="32">
        <f t="shared" si="4"/>
        <v>93.5</v>
      </c>
      <c r="T32" s="32">
        <f t="shared" si="4"/>
        <v>91.975000000000009</v>
      </c>
      <c r="U32" s="32">
        <f t="shared" si="4"/>
        <v>56.6</v>
      </c>
      <c r="V32" s="32">
        <f t="shared" si="4"/>
        <v>84.62</v>
      </c>
      <c r="W32" s="32">
        <f t="shared" si="4"/>
        <v>82.562452000000008</v>
      </c>
      <c r="X32" s="32">
        <f t="shared" si="4"/>
        <v>86.2</v>
      </c>
      <c r="Y32" s="32">
        <f t="shared" si="4"/>
        <v>63.770999908447266</v>
      </c>
      <c r="Z32" s="32">
        <f t="shared" si="4"/>
        <v>79.147953568800006</v>
      </c>
      <c r="AA32" s="32">
        <f t="shared" si="4"/>
        <v>78.998431410760986</v>
      </c>
      <c r="AB32" s="32">
        <f t="shared" si="4"/>
        <v>78.06150445352884</v>
      </c>
      <c r="AC32" s="32">
        <f t="shared" si="4"/>
        <v>66.772277033228463</v>
      </c>
      <c r="AD32" s="32">
        <f t="shared" si="4"/>
        <v>58.1</v>
      </c>
      <c r="AE32" s="27"/>
    </row>
    <row r="33" spans="16:31"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</row>
    <row r="34" spans="16:31"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16:31"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16:31"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</sheetData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Q164"/>
  <sheetViews>
    <sheetView topLeftCell="A7" zoomScaleNormal="100" workbookViewId="0">
      <selection activeCell="C40" sqref="C40"/>
    </sheetView>
  </sheetViews>
  <sheetFormatPr defaultColWidth="9" defaultRowHeight="19.5"/>
  <cols>
    <col min="1" max="1" width="13.28515625" style="48" customWidth="1"/>
    <col min="2" max="2" width="22" style="48" customWidth="1"/>
    <col min="3" max="3" width="22.85546875" customWidth="1"/>
    <col min="4" max="4" width="9" style="48" hidden="1" customWidth="1"/>
    <col min="5" max="5" width="17.85546875" style="48" customWidth="1"/>
    <col min="6" max="6" width="25.5703125" style="48" customWidth="1"/>
    <col min="7" max="7" width="24.140625" style="48" customWidth="1"/>
    <col min="8" max="8" width="20.42578125" style="126" customWidth="1"/>
    <col min="9" max="10" width="9" style="48"/>
    <col min="11" max="11" width="17.42578125" style="48" customWidth="1"/>
    <col min="12" max="12" width="14.7109375" style="48" customWidth="1"/>
    <col min="13" max="13" width="16.140625" style="48" customWidth="1"/>
    <col min="14" max="14" width="13.140625" style="48" customWidth="1"/>
    <col min="15" max="16384" width="9" style="48"/>
  </cols>
  <sheetData>
    <row r="1" spans="2:17">
      <c r="P1" s="47"/>
      <c r="Q1" s="47"/>
    </row>
    <row r="2" spans="2:17" ht="38.25" customHeight="1">
      <c r="B2" s="154" t="s">
        <v>92</v>
      </c>
      <c r="C2" s="30" t="s">
        <v>91</v>
      </c>
      <c r="D2" s="154"/>
      <c r="E2" s="154"/>
      <c r="F2" s="154"/>
      <c r="G2" s="154"/>
      <c r="H2" s="155"/>
      <c r="P2" s="49"/>
      <c r="Q2" s="49"/>
    </row>
    <row r="3" spans="2:17" ht="28.5" customHeight="1">
      <c r="B3" s="152" t="s">
        <v>90</v>
      </c>
      <c r="C3" s="152" t="s">
        <v>89</v>
      </c>
      <c r="D3" s="154"/>
      <c r="E3" s="152" t="s">
        <v>82</v>
      </c>
      <c r="F3" s="152" t="s">
        <v>83</v>
      </c>
      <c r="G3" s="152" t="s">
        <v>76</v>
      </c>
      <c r="H3" s="153" t="s">
        <v>62</v>
      </c>
      <c r="P3" s="49"/>
      <c r="Q3" s="49"/>
    </row>
    <row r="4" spans="2:17" ht="39" customHeight="1">
      <c r="B4" s="156">
        <f>(F4/F5-E4/E5)/(F4/F5)*100</f>
        <v>5.0814814814814788</v>
      </c>
      <c r="C4" s="156">
        <f>(G4/G5-E4/E5)/(G4/G5)*100</f>
        <v>7.1449275362318794</v>
      </c>
      <c r="D4" s="154"/>
      <c r="E4" s="127">
        <v>86</v>
      </c>
      <c r="F4" s="127">
        <v>90</v>
      </c>
      <c r="G4" s="127">
        <v>92</v>
      </c>
      <c r="H4" s="153" t="s">
        <v>0</v>
      </c>
      <c r="P4" s="49"/>
      <c r="Q4" s="49"/>
    </row>
    <row r="5" spans="2:17" ht="31.5" customHeight="1">
      <c r="B5" s="154"/>
      <c r="C5" s="30"/>
      <c r="D5" s="154"/>
      <c r="E5" s="127">
        <v>150</v>
      </c>
      <c r="F5" s="127">
        <v>149</v>
      </c>
      <c r="G5" s="127">
        <v>149</v>
      </c>
      <c r="H5" s="153" t="s">
        <v>77</v>
      </c>
      <c r="P5" s="49"/>
      <c r="Q5" s="49"/>
    </row>
    <row r="6" spans="2:17">
      <c r="B6" s="154"/>
      <c r="C6" s="30"/>
      <c r="D6" s="154"/>
      <c r="E6" s="128"/>
      <c r="F6" s="128"/>
      <c r="G6" s="128"/>
      <c r="H6" s="153"/>
      <c r="P6" s="49"/>
      <c r="Q6" s="49"/>
    </row>
    <row r="7" spans="2:17" ht="33.75">
      <c r="B7" s="156">
        <f>(F7/F8-E7/E8)/(F7/F8)*100</f>
        <v>1.5151515151515151</v>
      </c>
      <c r="C7" s="156">
        <f>(G7/G8-E7/E8)/(G7/G8)*100</f>
        <v>7.1428571428571423</v>
      </c>
      <c r="D7" s="154" t="s">
        <v>78</v>
      </c>
      <c r="E7" s="127">
        <v>65</v>
      </c>
      <c r="F7" s="127">
        <v>66</v>
      </c>
      <c r="G7" s="127">
        <v>70</v>
      </c>
      <c r="H7" s="153" t="s">
        <v>3</v>
      </c>
      <c r="P7" s="49"/>
      <c r="Q7" s="49"/>
    </row>
    <row r="8" spans="2:17" ht="32.25" customHeight="1">
      <c r="B8" s="154"/>
      <c r="C8" s="30"/>
      <c r="D8" s="154"/>
      <c r="E8" s="127">
        <v>189</v>
      </c>
      <c r="F8" s="127">
        <v>189</v>
      </c>
      <c r="G8" s="127">
        <v>189</v>
      </c>
      <c r="H8" s="153" t="s">
        <v>77</v>
      </c>
      <c r="P8" s="49"/>
      <c r="Q8" s="49"/>
    </row>
    <row r="9" spans="2:17">
      <c r="B9" s="154"/>
      <c r="C9" s="30"/>
      <c r="D9" s="154"/>
      <c r="E9" s="128"/>
      <c r="F9" s="128"/>
      <c r="G9" s="128"/>
      <c r="H9" s="153"/>
      <c r="P9" s="49"/>
      <c r="Q9" s="49"/>
    </row>
    <row r="10" spans="2:17" ht="26.25" customHeight="1">
      <c r="B10" s="156">
        <f>(F10/F11-E10/E11)/(F10/F11)*100</f>
        <v>5.9259259259259265</v>
      </c>
      <c r="C10" s="156">
        <f>(G10/G11-E10/E11)/(G10/G11)*100</f>
        <v>13.397907787679198</v>
      </c>
      <c r="D10" s="154"/>
      <c r="E10" s="127">
        <v>127</v>
      </c>
      <c r="F10" s="127">
        <v>135</v>
      </c>
      <c r="G10" s="127">
        <v>145</v>
      </c>
      <c r="H10" s="153" t="s">
        <v>27</v>
      </c>
      <c r="P10" s="49"/>
      <c r="Q10" s="49"/>
    </row>
    <row r="11" spans="2:17" ht="29.25" customHeight="1">
      <c r="B11" s="154"/>
      <c r="C11" s="30"/>
      <c r="D11" s="154"/>
      <c r="E11" s="127">
        <v>178</v>
      </c>
      <c r="F11" s="127">
        <v>178</v>
      </c>
      <c r="G11" s="127">
        <v>176</v>
      </c>
      <c r="H11" s="153" t="s">
        <v>77</v>
      </c>
      <c r="P11" s="49"/>
      <c r="Q11" s="49"/>
    </row>
    <row r="12" spans="2:17">
      <c r="B12" s="154"/>
      <c r="C12" s="30"/>
      <c r="D12" s="154"/>
      <c r="E12" s="128"/>
      <c r="F12" s="128"/>
      <c r="G12" s="128"/>
      <c r="H12" s="153"/>
      <c r="P12" s="49"/>
      <c r="Q12" s="49"/>
    </row>
    <row r="13" spans="2:17" ht="33.75">
      <c r="B13" s="156">
        <f>(F13/F14-E13/E14)/(F13/F14)*100</f>
        <v>-0.98015778149653565</v>
      </c>
      <c r="C13" s="156">
        <f>(G13/G14-E13/E14)/(G13/G14)*100</f>
        <v>1.0638297872340454</v>
      </c>
      <c r="D13" s="154" t="s">
        <v>79</v>
      </c>
      <c r="E13" s="127">
        <v>99</v>
      </c>
      <c r="F13" s="127">
        <v>89</v>
      </c>
      <c r="G13" s="127">
        <v>88</v>
      </c>
      <c r="H13" s="153" t="s">
        <v>80</v>
      </c>
      <c r="P13" s="49"/>
      <c r="Q13" s="49"/>
    </row>
    <row r="14" spans="2:17" ht="29.25" customHeight="1">
      <c r="B14" s="154"/>
      <c r="C14" s="30"/>
      <c r="D14" s="154"/>
      <c r="E14" s="127">
        <v>141</v>
      </c>
      <c r="F14" s="127">
        <v>128</v>
      </c>
      <c r="G14" s="127">
        <v>124</v>
      </c>
      <c r="H14" s="153" t="s">
        <v>77</v>
      </c>
      <c r="P14" s="49"/>
      <c r="Q14" s="49"/>
    </row>
    <row r="15" spans="2:17">
      <c r="B15" s="154"/>
      <c r="C15" s="30"/>
      <c r="D15" s="154"/>
      <c r="E15" s="128"/>
      <c r="F15" s="128"/>
      <c r="G15" s="128"/>
      <c r="H15" s="153"/>
      <c r="P15" s="49"/>
      <c r="Q15" s="49"/>
    </row>
    <row r="16" spans="2:17" ht="26.25" customHeight="1">
      <c r="B16" s="156">
        <f>(F16/F17-E16/E17)/(F16/F17)*100</f>
        <v>-7.6692076692076716</v>
      </c>
      <c r="C16" s="156">
        <f>(G16/G17-E16/E17)/(G16/G17)*100</f>
        <v>-7.2727272727272627</v>
      </c>
      <c r="D16" s="154"/>
      <c r="E16" s="127">
        <v>118</v>
      </c>
      <c r="F16" s="127">
        <v>111</v>
      </c>
      <c r="G16" s="127">
        <v>110</v>
      </c>
      <c r="H16" s="153" t="s">
        <v>9</v>
      </c>
      <c r="P16" s="49"/>
      <c r="Q16" s="49"/>
    </row>
    <row r="17" spans="2:17" ht="25.5" customHeight="1">
      <c r="B17" s="154"/>
      <c r="C17" s="30"/>
      <c r="D17" s="154"/>
      <c r="E17" s="127">
        <v>156</v>
      </c>
      <c r="F17" s="127">
        <v>158</v>
      </c>
      <c r="G17" s="127">
        <v>156</v>
      </c>
      <c r="H17" s="153" t="s">
        <v>77</v>
      </c>
      <c r="P17" s="49"/>
      <c r="Q17" s="49"/>
    </row>
    <row r="18" spans="2:17">
      <c r="B18" s="154"/>
      <c r="C18" s="30"/>
      <c r="D18" s="154"/>
      <c r="E18" s="128"/>
      <c r="F18" s="128"/>
      <c r="G18" s="128"/>
      <c r="H18" s="153"/>
      <c r="P18" s="49"/>
      <c r="Q18" s="49"/>
    </row>
    <row r="19" spans="2:17" ht="25.5" customHeight="1">
      <c r="B19" s="156">
        <f>(F19/F20-E19/E20)/(F19/F20)*100</f>
        <v>3.4293552812071337</v>
      </c>
      <c r="C19" s="156">
        <f>(G19/G20-E19/E20)/(G19/G20)*100</f>
        <v>49.206349206349209</v>
      </c>
      <c r="D19" s="154" t="s">
        <v>70</v>
      </c>
      <c r="E19" s="127">
        <v>80</v>
      </c>
      <c r="F19" s="127">
        <v>81</v>
      </c>
      <c r="G19" s="127">
        <v>112</v>
      </c>
      <c r="H19" s="153" t="s">
        <v>68</v>
      </c>
      <c r="P19" s="49"/>
      <c r="Q19" s="49"/>
    </row>
    <row r="20" spans="2:17" ht="27.75" customHeight="1">
      <c r="B20" s="154"/>
      <c r="C20" s="30"/>
      <c r="D20" s="154"/>
      <c r="E20" s="127">
        <v>180</v>
      </c>
      <c r="F20" s="127">
        <v>176</v>
      </c>
      <c r="G20" s="127">
        <v>128</v>
      </c>
      <c r="H20" s="153" t="s">
        <v>77</v>
      </c>
      <c r="P20" s="49"/>
      <c r="Q20" s="49"/>
    </row>
    <row r="21" spans="2:17" ht="21" customHeight="1">
      <c r="B21" s="154"/>
      <c r="C21" s="30"/>
      <c r="D21" s="154"/>
      <c r="E21" s="128"/>
      <c r="F21" s="128"/>
      <c r="G21" s="128"/>
      <c r="H21" s="153"/>
      <c r="P21" s="49"/>
      <c r="Q21" s="49"/>
    </row>
    <row r="22" spans="2:17" ht="23.25" customHeight="1">
      <c r="B22" s="156">
        <f>(F22/F23-E22/E23)/(F22/F23)*100</f>
        <v>2.459016393442627</v>
      </c>
      <c r="C22" s="156">
        <f>(G22/G23-E22/E23)/(G22/G23)*100</f>
        <v>4.8000000000000078</v>
      </c>
      <c r="D22" s="154"/>
      <c r="E22" s="127">
        <v>119</v>
      </c>
      <c r="F22" s="127">
        <v>122</v>
      </c>
      <c r="G22" s="127">
        <v>125</v>
      </c>
      <c r="H22" s="153" t="s">
        <v>10</v>
      </c>
      <c r="P22" s="49"/>
      <c r="Q22" s="49"/>
    </row>
    <row r="23" spans="2:17" ht="25.5" customHeight="1">
      <c r="B23" s="154"/>
      <c r="C23" s="30"/>
      <c r="D23" s="154"/>
      <c r="E23" s="127">
        <v>167</v>
      </c>
      <c r="F23" s="127">
        <v>167</v>
      </c>
      <c r="G23" s="127">
        <v>167</v>
      </c>
      <c r="H23" s="153" t="s">
        <v>77</v>
      </c>
      <c r="P23" s="49"/>
      <c r="Q23" s="49"/>
    </row>
    <row r="24" spans="2:17">
      <c r="B24" s="154"/>
      <c r="C24" s="30"/>
      <c r="D24" s="154"/>
      <c r="E24" s="128"/>
      <c r="F24" s="128"/>
      <c r="G24" s="128"/>
      <c r="H24" s="153"/>
      <c r="P24" s="49"/>
      <c r="Q24" s="49"/>
    </row>
    <row r="25" spans="2:17" ht="24.75" customHeight="1">
      <c r="B25" s="156">
        <f>(F25/F26-E25/E26)/(F25/F26)*100</f>
        <v>0.53191489361701949</v>
      </c>
      <c r="C25" s="156">
        <f>(G25/G26-E25/E26)/(G25/G26)*100</f>
        <v>1.8518518518518574</v>
      </c>
      <c r="D25" s="154"/>
      <c r="E25" s="127">
        <v>187</v>
      </c>
      <c r="F25" s="127">
        <v>188</v>
      </c>
      <c r="G25" s="127">
        <v>198</v>
      </c>
      <c r="H25" s="153" t="s">
        <v>7</v>
      </c>
      <c r="P25" s="49"/>
      <c r="Q25" s="49"/>
    </row>
    <row r="26" spans="2:17" ht="25.5" customHeight="1">
      <c r="B26" s="154"/>
      <c r="C26" s="30"/>
      <c r="D26" s="154">
        <v>2018</v>
      </c>
      <c r="E26" s="127">
        <v>204</v>
      </c>
      <c r="F26" s="127">
        <v>204</v>
      </c>
      <c r="G26" s="127">
        <v>212</v>
      </c>
      <c r="H26" s="153" t="s">
        <v>77</v>
      </c>
      <c r="P26" s="49"/>
      <c r="Q26" s="49"/>
    </row>
    <row r="27" spans="2:17">
      <c r="B27" s="154"/>
      <c r="C27" s="30"/>
      <c r="D27" s="154"/>
      <c r="E27" s="128"/>
      <c r="F27" s="128"/>
      <c r="G27" s="128"/>
      <c r="H27" s="153"/>
      <c r="P27" s="49"/>
      <c r="Q27" s="49"/>
    </row>
    <row r="28" spans="2:17" ht="26.25" customHeight="1">
      <c r="B28" s="156">
        <f>(F28/F29-E28/E29)/(F28/F29)*100</f>
        <v>36.608195754716974</v>
      </c>
      <c r="C28" s="156">
        <f>(G28/G29-E28/E29)/(G28/G29)*100</f>
        <v>40.113384955752217</v>
      </c>
      <c r="D28" s="154"/>
      <c r="E28" s="127">
        <v>61</v>
      </c>
      <c r="F28" s="127">
        <v>106</v>
      </c>
      <c r="G28" s="127">
        <v>113</v>
      </c>
      <c r="H28" s="153" t="s">
        <v>5</v>
      </c>
      <c r="P28" s="49"/>
      <c r="Q28" s="49"/>
    </row>
    <row r="29" spans="2:17" ht="26.25" customHeight="1">
      <c r="B29" s="154"/>
      <c r="C29" s="30"/>
      <c r="D29" s="154"/>
      <c r="E29" s="127">
        <v>128</v>
      </c>
      <c r="F29" s="127">
        <v>141</v>
      </c>
      <c r="G29" s="127">
        <v>142</v>
      </c>
      <c r="H29" s="153" t="s">
        <v>77</v>
      </c>
      <c r="P29" s="49"/>
      <c r="Q29" s="49"/>
    </row>
    <row r="30" spans="2:17">
      <c r="B30" s="154"/>
      <c r="C30" s="30"/>
      <c r="D30" s="154"/>
      <c r="E30" s="128"/>
      <c r="F30" s="128"/>
      <c r="G30" s="128"/>
      <c r="H30" s="153"/>
      <c r="P30" s="49"/>
      <c r="Q30" s="49"/>
    </row>
    <row r="31" spans="2:17" ht="28.5" customHeight="1">
      <c r="B31" s="156">
        <f>(F31/F32-E31/E32)/(F31/F32)*100</f>
        <v>1.904761904761898</v>
      </c>
      <c r="C31" s="156">
        <f>(G31/G32-E31/E32)/(G31/G32)*100</f>
        <v>2.7526595744680793</v>
      </c>
      <c r="D31" s="154"/>
      <c r="E31" s="127">
        <v>103</v>
      </c>
      <c r="F31" s="127">
        <v>105</v>
      </c>
      <c r="G31" s="127">
        <v>94</v>
      </c>
      <c r="H31" s="153" t="s">
        <v>8</v>
      </c>
      <c r="P31" s="49"/>
      <c r="Q31" s="49"/>
    </row>
    <row r="32" spans="2:17" ht="27" customHeight="1">
      <c r="B32" s="154"/>
      <c r="C32" s="30"/>
      <c r="D32" s="154"/>
      <c r="E32" s="127">
        <v>160</v>
      </c>
      <c r="F32" s="127">
        <v>160</v>
      </c>
      <c r="G32" s="127">
        <v>142</v>
      </c>
      <c r="H32" s="153" t="s">
        <v>77</v>
      </c>
      <c r="P32" s="49"/>
      <c r="Q32" s="49"/>
    </row>
    <row r="33" spans="2:17">
      <c r="B33" s="154"/>
      <c r="C33" s="30"/>
      <c r="D33" s="154"/>
      <c r="E33" s="128"/>
      <c r="F33" s="128"/>
      <c r="G33" s="128"/>
      <c r="H33" s="153"/>
      <c r="P33" s="49"/>
      <c r="Q33" s="49"/>
    </row>
    <row r="34" spans="2:17" ht="26.25" customHeight="1">
      <c r="B34" s="156">
        <f>(F34/F35-E34/E35)/(F34/F35)*100</f>
        <v>7.8711985688729929</v>
      </c>
      <c r="C34" s="156">
        <f>(G34/G35-E34/E35)/(G34/G35)*100</f>
        <v>6.3357185450208675</v>
      </c>
      <c r="D34" s="154"/>
      <c r="E34" s="127">
        <v>103</v>
      </c>
      <c r="F34" s="127">
        <v>104</v>
      </c>
      <c r="G34" s="127">
        <v>104</v>
      </c>
      <c r="H34" s="153" t="s">
        <v>6</v>
      </c>
      <c r="P34" s="49"/>
      <c r="Q34" s="49"/>
    </row>
    <row r="35" spans="2:17" ht="27.75" customHeight="1">
      <c r="B35" s="154"/>
      <c r="C35" s="30"/>
      <c r="D35" s="154"/>
      <c r="E35" s="127">
        <v>129</v>
      </c>
      <c r="F35" s="127">
        <v>120</v>
      </c>
      <c r="G35" s="127">
        <v>122</v>
      </c>
      <c r="H35" s="153" t="s">
        <v>77</v>
      </c>
      <c r="P35" s="49"/>
      <c r="Q35" s="49"/>
    </row>
    <row r="36" spans="2:17">
      <c r="B36" s="154"/>
      <c r="C36" s="30"/>
      <c r="D36" s="154"/>
      <c r="E36" s="128"/>
      <c r="F36" s="128"/>
      <c r="G36" s="128"/>
      <c r="H36" s="153"/>
      <c r="P36" s="49"/>
      <c r="Q36" s="49"/>
    </row>
    <row r="37" spans="2:17" ht="25.5" customHeight="1">
      <c r="B37" s="156">
        <f>(F37/F38-E37/E38)/(F37/F38)*100</f>
        <v>-13.059715153955995</v>
      </c>
      <c r="C37" s="156">
        <f>(G37/G38-E37/E38)/(G37/G38)*100</f>
        <v>-17.156081645041354</v>
      </c>
      <c r="D37" s="154"/>
      <c r="E37" s="127">
        <v>160</v>
      </c>
      <c r="F37" s="127">
        <v>143</v>
      </c>
      <c r="G37" s="127">
        <v>138</v>
      </c>
      <c r="H37" s="153" t="s">
        <v>26</v>
      </c>
      <c r="P37" s="49"/>
      <c r="Q37" s="49"/>
    </row>
    <row r="38" spans="2:17" ht="30.75" customHeight="1">
      <c r="B38" s="154"/>
      <c r="C38" s="30"/>
      <c r="D38" s="154"/>
      <c r="E38" s="127">
        <v>191</v>
      </c>
      <c r="F38" s="127">
        <v>193</v>
      </c>
      <c r="G38" s="127">
        <v>193</v>
      </c>
      <c r="H38" s="153" t="s">
        <v>88</v>
      </c>
      <c r="P38" s="49"/>
      <c r="Q38" s="49"/>
    </row>
    <row r="39" spans="2:17" ht="19.5" customHeight="1">
      <c r="B39" s="154"/>
      <c r="C39" s="30"/>
      <c r="D39" s="154"/>
      <c r="E39" s="128"/>
      <c r="F39" s="128"/>
      <c r="G39" s="128"/>
      <c r="H39" s="153"/>
      <c r="P39" s="49"/>
      <c r="Q39" s="49"/>
    </row>
    <row r="40" spans="2:17" ht="25.5" customHeight="1">
      <c r="B40" s="156">
        <f>(F40/F41-E40/E41)/(F40/F41)*100</f>
        <v>-3.0137477049841013</v>
      </c>
      <c r="C40" s="156">
        <f>(G40/G41-E40/E41)/(G40/G41)*100</f>
        <v>-7.4437627811860834</v>
      </c>
      <c r="D40" s="154"/>
      <c r="E40" s="127">
        <v>142</v>
      </c>
      <c r="F40" s="127">
        <v>137</v>
      </c>
      <c r="G40" s="127">
        <v>120</v>
      </c>
      <c r="H40" s="153" t="s">
        <v>69</v>
      </c>
      <c r="P40" s="49"/>
      <c r="Q40" s="49"/>
    </row>
    <row r="41" spans="2:17" ht="24" customHeight="1">
      <c r="B41" s="154"/>
      <c r="C41" s="30"/>
      <c r="D41" s="154"/>
      <c r="E41" s="127">
        <v>163</v>
      </c>
      <c r="F41" s="127">
        <v>162</v>
      </c>
      <c r="G41" s="127">
        <v>148</v>
      </c>
      <c r="H41" s="153" t="s">
        <v>77</v>
      </c>
      <c r="P41" s="49"/>
      <c r="Q41" s="49"/>
    </row>
    <row r="42" spans="2:17">
      <c r="P42" s="49"/>
      <c r="Q42" s="49"/>
    </row>
    <row r="43" spans="2:17">
      <c r="P43" s="49"/>
      <c r="Q43" s="49"/>
    </row>
    <row r="44" spans="2:17">
      <c r="P44" s="49"/>
      <c r="Q44" s="49"/>
    </row>
    <row r="45" spans="2:17">
      <c r="P45" s="49"/>
      <c r="Q45" s="49"/>
    </row>
    <row r="46" spans="2:17">
      <c r="P46" s="49"/>
      <c r="Q46" s="49"/>
    </row>
    <row r="47" spans="2:17">
      <c r="P47" s="49"/>
      <c r="Q47" s="49"/>
    </row>
    <row r="48" spans="2:17">
      <c r="P48" s="49"/>
      <c r="Q48" s="49"/>
    </row>
    <row r="49" spans="16:17">
      <c r="P49" s="49"/>
      <c r="Q49" s="49"/>
    </row>
    <row r="50" spans="16:17">
      <c r="P50" s="49"/>
      <c r="Q50" s="49"/>
    </row>
    <row r="51" spans="16:17">
      <c r="P51" s="49"/>
      <c r="Q51" s="49"/>
    </row>
    <row r="52" spans="16:17">
      <c r="P52" s="49"/>
      <c r="Q52" s="49"/>
    </row>
    <row r="53" spans="16:17">
      <c r="P53" s="49"/>
      <c r="Q53" s="49"/>
    </row>
    <row r="54" spans="16:17">
      <c r="P54" s="49"/>
      <c r="Q54" s="49"/>
    </row>
    <row r="55" spans="16:17">
      <c r="P55" s="49"/>
      <c r="Q55" s="49"/>
    </row>
    <row r="56" spans="16:17">
      <c r="P56" s="49"/>
      <c r="Q56" s="49"/>
    </row>
    <row r="57" spans="16:17">
      <c r="P57" s="49"/>
      <c r="Q57" s="49"/>
    </row>
    <row r="58" spans="16:17">
      <c r="P58" s="49"/>
      <c r="Q58" s="49"/>
    </row>
    <row r="59" spans="16:17">
      <c r="P59" s="49"/>
      <c r="Q59" s="49"/>
    </row>
    <row r="60" spans="16:17">
      <c r="P60" s="49"/>
      <c r="Q60" s="49"/>
    </row>
    <row r="61" spans="16:17">
      <c r="P61" s="49"/>
      <c r="Q61" s="49"/>
    </row>
    <row r="62" spans="16:17">
      <c r="P62" s="49"/>
      <c r="Q62" s="49"/>
    </row>
    <row r="63" spans="16:17">
      <c r="P63" s="49"/>
      <c r="Q63" s="49"/>
    </row>
    <row r="64" spans="16:17">
      <c r="P64" s="49"/>
      <c r="Q64" s="49"/>
    </row>
    <row r="65" spans="16:17">
      <c r="P65" s="49"/>
      <c r="Q65" s="49"/>
    </row>
    <row r="66" spans="16:17">
      <c r="P66" s="49"/>
      <c r="Q66" s="49"/>
    </row>
    <row r="67" spans="16:17">
      <c r="P67" s="49"/>
      <c r="Q67" s="49"/>
    </row>
    <row r="68" spans="16:17">
      <c r="P68" s="49"/>
      <c r="Q68" s="49"/>
    </row>
    <row r="69" spans="16:17">
      <c r="P69" s="49"/>
      <c r="Q69" s="49"/>
    </row>
    <row r="70" spans="16:17">
      <c r="P70" s="49"/>
      <c r="Q70" s="49"/>
    </row>
    <row r="71" spans="16:17">
      <c r="P71" s="49"/>
      <c r="Q71" s="49"/>
    </row>
    <row r="72" spans="16:17">
      <c r="P72" s="49"/>
      <c r="Q72" s="49"/>
    </row>
    <row r="73" spans="16:17">
      <c r="P73" s="49"/>
      <c r="Q73" s="49"/>
    </row>
    <row r="74" spans="16:17">
      <c r="P74" s="49"/>
      <c r="Q74" s="49"/>
    </row>
    <row r="75" spans="16:17">
      <c r="P75" s="49"/>
      <c r="Q75" s="49"/>
    </row>
    <row r="76" spans="16:17">
      <c r="P76" s="49"/>
      <c r="Q76" s="49"/>
    </row>
    <row r="77" spans="16:17">
      <c r="P77" s="49"/>
      <c r="Q77" s="49"/>
    </row>
    <row r="78" spans="16:17">
      <c r="P78" s="49"/>
      <c r="Q78" s="49"/>
    </row>
    <row r="79" spans="16:17">
      <c r="P79" s="49"/>
      <c r="Q79" s="49"/>
    </row>
    <row r="80" spans="16:17">
      <c r="P80" s="49"/>
      <c r="Q80" s="49"/>
    </row>
    <row r="81" spans="16:17">
      <c r="P81" s="49"/>
      <c r="Q81" s="49"/>
    </row>
    <row r="82" spans="16:17">
      <c r="P82" s="49"/>
      <c r="Q82" s="49"/>
    </row>
    <row r="83" spans="16:17">
      <c r="P83" s="49"/>
      <c r="Q83" s="49"/>
    </row>
    <row r="84" spans="16:17">
      <c r="P84" s="49"/>
      <c r="Q84" s="49"/>
    </row>
    <row r="85" spans="16:17">
      <c r="P85" s="49"/>
      <c r="Q85" s="49"/>
    </row>
    <row r="86" spans="16:17">
      <c r="P86" s="49"/>
      <c r="Q86" s="49"/>
    </row>
    <row r="87" spans="16:17">
      <c r="P87" s="49"/>
      <c r="Q87" s="49"/>
    </row>
    <row r="88" spans="16:17">
      <c r="P88" s="49"/>
      <c r="Q88" s="49"/>
    </row>
    <row r="89" spans="16:17">
      <c r="P89" s="49"/>
      <c r="Q89" s="49"/>
    </row>
    <row r="90" spans="16:17">
      <c r="P90" s="49"/>
      <c r="Q90" s="49"/>
    </row>
    <row r="91" spans="16:17">
      <c r="P91" s="49"/>
      <c r="Q91" s="49"/>
    </row>
    <row r="92" spans="16:17">
      <c r="P92" s="49"/>
      <c r="Q92" s="49"/>
    </row>
    <row r="93" spans="16:17">
      <c r="P93" s="49"/>
      <c r="Q93" s="49"/>
    </row>
    <row r="94" spans="16:17">
      <c r="P94" s="49"/>
      <c r="Q94" s="49"/>
    </row>
    <row r="95" spans="16:17">
      <c r="P95" s="49"/>
      <c r="Q95" s="49"/>
    </row>
    <row r="96" spans="16:17">
      <c r="P96" s="49"/>
      <c r="Q96" s="49"/>
    </row>
    <row r="97" spans="16:17">
      <c r="P97" s="49"/>
      <c r="Q97" s="49"/>
    </row>
    <row r="98" spans="16:17">
      <c r="P98" s="49"/>
      <c r="Q98" s="49"/>
    </row>
    <row r="99" spans="16:17">
      <c r="P99" s="49"/>
      <c r="Q99" s="49"/>
    </row>
    <row r="100" spans="16:17">
      <c r="P100" s="49"/>
      <c r="Q100" s="49"/>
    </row>
    <row r="101" spans="16:17">
      <c r="P101" s="49"/>
      <c r="Q101" s="49"/>
    </row>
    <row r="102" spans="16:17">
      <c r="P102" s="49"/>
      <c r="Q102" s="49"/>
    </row>
    <row r="103" spans="16:17">
      <c r="P103" s="49"/>
      <c r="Q103" s="49"/>
    </row>
    <row r="104" spans="16:17">
      <c r="P104" s="49"/>
      <c r="Q104" s="49"/>
    </row>
    <row r="105" spans="16:17">
      <c r="P105" s="49"/>
      <c r="Q105" s="49"/>
    </row>
    <row r="106" spans="16:17">
      <c r="P106" s="49"/>
      <c r="Q106" s="49"/>
    </row>
    <row r="107" spans="16:17">
      <c r="P107" s="49"/>
      <c r="Q107" s="49"/>
    </row>
    <row r="108" spans="16:17">
      <c r="P108" s="49"/>
      <c r="Q108" s="49"/>
    </row>
    <row r="109" spans="16:17">
      <c r="P109" s="49"/>
      <c r="Q109" s="49"/>
    </row>
    <row r="110" spans="16:17">
      <c r="P110" s="49"/>
      <c r="Q110" s="49"/>
    </row>
    <row r="111" spans="16:17">
      <c r="P111" s="49"/>
      <c r="Q111" s="49"/>
    </row>
    <row r="112" spans="16:17">
      <c r="P112" s="49"/>
      <c r="Q112" s="49"/>
    </row>
    <row r="113" spans="16:17">
      <c r="P113" s="49"/>
      <c r="Q113" s="49"/>
    </row>
    <row r="114" spans="16:17">
      <c r="P114" s="49"/>
      <c r="Q114" s="49"/>
    </row>
    <row r="115" spans="16:17">
      <c r="P115" s="49"/>
      <c r="Q115" s="49"/>
    </row>
    <row r="116" spans="16:17">
      <c r="P116" s="49"/>
      <c r="Q116" s="49"/>
    </row>
    <row r="117" spans="16:17">
      <c r="P117" s="49"/>
      <c r="Q117" s="49"/>
    </row>
    <row r="118" spans="16:17">
      <c r="P118" s="49"/>
      <c r="Q118" s="49"/>
    </row>
    <row r="119" spans="16:17">
      <c r="P119" s="49"/>
      <c r="Q119" s="49"/>
    </row>
    <row r="120" spans="16:17">
      <c r="P120" s="49"/>
      <c r="Q120" s="49"/>
    </row>
    <row r="121" spans="16:17">
      <c r="P121" s="49"/>
      <c r="Q121" s="49"/>
    </row>
    <row r="122" spans="16:17">
      <c r="P122" s="49"/>
      <c r="Q122" s="49"/>
    </row>
    <row r="123" spans="16:17">
      <c r="P123" s="49"/>
      <c r="Q123" s="49"/>
    </row>
    <row r="124" spans="16:17">
      <c r="P124" s="49"/>
      <c r="Q124" s="49"/>
    </row>
    <row r="125" spans="16:17">
      <c r="P125" s="49"/>
      <c r="Q125" s="49"/>
    </row>
    <row r="126" spans="16:17">
      <c r="P126" s="49"/>
      <c r="Q126" s="49"/>
    </row>
    <row r="127" spans="16:17">
      <c r="P127" s="49"/>
      <c r="Q127" s="49"/>
    </row>
    <row r="128" spans="16:17">
      <c r="P128" s="49"/>
      <c r="Q128" s="49"/>
    </row>
    <row r="129" spans="16:17">
      <c r="P129" s="49"/>
      <c r="Q129" s="49"/>
    </row>
    <row r="130" spans="16:17">
      <c r="P130" s="49"/>
      <c r="Q130" s="49"/>
    </row>
    <row r="131" spans="16:17">
      <c r="P131" s="49"/>
      <c r="Q131" s="49"/>
    </row>
    <row r="132" spans="16:17">
      <c r="P132" s="49"/>
      <c r="Q132" s="49"/>
    </row>
    <row r="133" spans="16:17">
      <c r="P133" s="49"/>
      <c r="Q133" s="49"/>
    </row>
    <row r="134" spans="16:17">
      <c r="P134" s="49"/>
      <c r="Q134" s="49"/>
    </row>
    <row r="135" spans="16:17">
      <c r="P135" s="49"/>
      <c r="Q135" s="49"/>
    </row>
    <row r="136" spans="16:17">
      <c r="P136" s="49"/>
      <c r="Q136" s="49"/>
    </row>
    <row r="137" spans="16:17">
      <c r="P137" s="49"/>
      <c r="Q137" s="49"/>
    </row>
    <row r="138" spans="16:17">
      <c r="P138" s="49"/>
      <c r="Q138" s="49"/>
    </row>
    <row r="139" spans="16:17">
      <c r="P139" s="49"/>
      <c r="Q139" s="49"/>
    </row>
    <row r="140" spans="16:17">
      <c r="P140" s="49"/>
      <c r="Q140" s="49"/>
    </row>
    <row r="141" spans="16:17">
      <c r="P141" s="49"/>
      <c r="Q141" s="49"/>
    </row>
    <row r="142" spans="16:17">
      <c r="P142" s="49"/>
      <c r="Q142" s="49"/>
    </row>
    <row r="143" spans="16:17">
      <c r="P143" s="49"/>
      <c r="Q143" s="49"/>
    </row>
    <row r="144" spans="16:17">
      <c r="P144" s="49"/>
      <c r="Q144" s="49"/>
    </row>
    <row r="145" spans="16:17">
      <c r="P145" s="49"/>
      <c r="Q145" s="49"/>
    </row>
    <row r="146" spans="16:17">
      <c r="P146" s="49"/>
      <c r="Q146" s="49"/>
    </row>
    <row r="147" spans="16:17">
      <c r="P147" s="49"/>
      <c r="Q147" s="49"/>
    </row>
    <row r="148" spans="16:17">
      <c r="P148" s="49"/>
      <c r="Q148" s="49"/>
    </row>
    <row r="149" spans="16:17">
      <c r="P149" s="49"/>
      <c r="Q149" s="49"/>
    </row>
    <row r="150" spans="16:17">
      <c r="P150" s="49"/>
      <c r="Q150" s="49"/>
    </row>
    <row r="151" spans="16:17">
      <c r="P151" s="49"/>
      <c r="Q151" s="49"/>
    </row>
    <row r="152" spans="16:17">
      <c r="P152" s="49"/>
      <c r="Q152" s="49"/>
    </row>
    <row r="153" spans="16:17">
      <c r="P153" s="49"/>
      <c r="Q153" s="49"/>
    </row>
    <row r="154" spans="16:17">
      <c r="P154" s="49"/>
      <c r="Q154" s="49"/>
    </row>
    <row r="155" spans="16:17">
      <c r="P155" s="49"/>
      <c r="Q155" s="49"/>
    </row>
    <row r="156" spans="16:17">
      <c r="P156" s="49"/>
      <c r="Q156" s="49"/>
    </row>
    <row r="157" spans="16:17">
      <c r="P157" s="49"/>
      <c r="Q157" s="49"/>
    </row>
    <row r="158" spans="16:17">
      <c r="P158" s="49"/>
      <c r="Q158" s="49"/>
    </row>
    <row r="159" spans="16:17">
      <c r="P159" s="49"/>
      <c r="Q159" s="49"/>
    </row>
    <row r="160" spans="16:17">
      <c r="P160" s="49"/>
      <c r="Q160" s="49"/>
    </row>
    <row r="161" spans="16:17">
      <c r="P161" s="49"/>
      <c r="Q161" s="49"/>
    </row>
    <row r="162" spans="16:17">
      <c r="P162" s="49"/>
      <c r="Q162" s="49"/>
    </row>
    <row r="163" spans="16:17">
      <c r="P163" s="49"/>
      <c r="Q163" s="49"/>
    </row>
    <row r="164" spans="16:17">
      <c r="P164" s="49"/>
      <c r="Q164" s="49"/>
    </row>
  </sheetData>
  <sortState xmlns:xlrd2="http://schemas.microsoft.com/office/spreadsheetml/2017/richdata2" ref="A2:B164">
    <sortCondition ref="B1"/>
  </sortState>
  <pageMargins left="0.7" right="0.7" top="0.75" bottom="0.75" header="0.3" footer="0.3"/>
  <pageSetup paperSize="9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داده های شاخص ها برای ایران</vt:lpstr>
      <vt:lpstr>نرخ رشد ایران</vt:lpstr>
      <vt:lpstr>وضعیت ایران</vt:lpstr>
      <vt:lpstr>روند ایران</vt:lpstr>
      <vt:lpstr>ایران و ترکیه</vt:lpstr>
      <vt:lpstr>ایران و کره جنوبی</vt:lpstr>
      <vt:lpstr>ایران و چین</vt:lpstr>
      <vt:lpstr>ایران و سنگاپور</vt:lpstr>
      <vt:lpstr>مقابسه رتیه ایران</vt:lpstr>
      <vt:lpstr>میانگین 5 ساله شاخص ها</vt:lpstr>
      <vt:lpstr>نمودار مقابسه رتبه ایران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mdellx</dc:creator>
  <cp:lastModifiedBy>MD</cp:lastModifiedBy>
  <dcterms:created xsi:type="dcterms:W3CDTF">2020-06-23T07:13:34Z</dcterms:created>
  <dcterms:modified xsi:type="dcterms:W3CDTF">2021-05-07T19:13:56Z</dcterms:modified>
</cp:coreProperties>
</file>